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9.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PT_templ" sheetId="2" state="visible" r:id="rId3"/>
    <sheet name="M0" sheetId="3" state="visible" r:id="rId4"/>
    <sheet name="M1" sheetId="4" state="visible" r:id="rId5"/>
    <sheet name="M2" sheetId="5" state="visible" r:id="rId6"/>
    <sheet name="M3" sheetId="6" state="visible" r:id="rId7"/>
    <sheet name="M4" sheetId="7" state="visible" r:id="rId8"/>
    <sheet name="M5" sheetId="8" state="visible" r:id="rId9"/>
    <sheet name="M6" sheetId="9" state="visible" r:id="rId10"/>
    <sheet name="10.Ops" sheetId="10" state="visible" r:id="rId11"/>
    <sheet name="11.Staff" sheetId="11" state="visible" r:id="rId12"/>
    <sheet name="12.Assets" sheetId="12" state="visible" r:id="rId13"/>
    <sheet name="13.Suppliers" sheetId="13" state="visible" r:id="rId14"/>
    <sheet name="20.Services" sheetId="14" state="visible" r:id="rId15"/>
    <sheet name="30.Clients" sheetId="15" state="visible" r:id="rId16"/>
    <sheet name="40.Environment" sheetId="16" state="visible" r:id="rId17"/>
    <sheet name="51.Finance" sheetId="17" state="visible" r:id="rId18"/>
    <sheet name="99.DayPlan" sheetId="18" state="visible" r:id="rId19"/>
    <sheet name="Static" sheetId="19" state="visible" r:id="rId20"/>
  </sheets>
  <definedNames>
    <definedName function="false" hidden="true" localSheetId="9" name="_xlnm._FilterDatabase" vbProcedure="false">'10.Ops'!$A$4:$AG$36</definedName>
    <definedName function="false" hidden="true" localSheetId="10" name="_xlnm._FilterDatabase" vbProcedure="false">'11.Staff'!$A$4:$Y$39</definedName>
    <definedName function="false" hidden="true" localSheetId="11" name="_xlnm._FilterDatabase" vbProcedure="false">'12.Assets'!$A$4:$O$40</definedName>
    <definedName function="false" hidden="true" localSheetId="12" name="_xlnm._FilterDatabase" vbProcedure="false">'13.Suppliers'!$A$4:$P$39</definedName>
    <definedName function="false" hidden="true" localSheetId="13" name="_xlnm._FilterDatabase" vbProcedure="false">'20.Services'!$A$4:$N$39</definedName>
    <definedName function="false" hidden="true" localSheetId="14" name="_xlnm._FilterDatabase" vbProcedure="false">'30.Clients'!$A$4:$N$39</definedName>
    <definedName function="false" hidden="true" localSheetId="15" name="_xlnm._FilterDatabase" vbProcedure="false">'40.Environment'!$A$4:$N$39</definedName>
    <definedName function="false" hidden="true" localSheetId="16" name="_xlnm._FilterDatabase" vbProcedure="false">'51.Finance'!$A$4:$I$39</definedName>
    <definedName function="false" hidden="true" localSheetId="17" name="_xlnm._FilterDatabase" vbProcedure="false">'99.DayPlan'!$A$4:$G$55</definedName>
    <definedName function="false" hidden="true" localSheetId="2" name="_xlnm._FilterDatabase" vbProcedure="false">M0!$A$4:$AX$61</definedName>
    <definedName function="false" hidden="true" localSheetId="3" name="_xlnm._FilterDatabase" vbProcedure="false">M1!$A$4:$AT$43</definedName>
    <definedName function="false" hidden="true" localSheetId="4" name="_xlnm._FilterDatabase" vbProcedure="false">M2!$A$4:$AT$43</definedName>
    <definedName function="false" hidden="true" localSheetId="5" name="_xlnm._FilterDatabase" vbProcedure="false">M3!$A$4:$AT$43</definedName>
    <definedName function="false" hidden="true" localSheetId="6" name="_xlnm._FilterDatabase" vbProcedure="false">M4!$A$17:$AU$74</definedName>
    <definedName function="false" hidden="true" localSheetId="7" name="_xlnm._FilterDatabase" vbProcedure="false">M5!$A$20:$DY$55</definedName>
    <definedName function="false" hidden="true" localSheetId="8" name="_xlnm._FilterDatabase" vbProcedure="false">M6!$A$4:$AX$61</definedName>
    <definedName function="false" hidden="false" localSheetId="9" name="_xlnm._FilterDatabase_0_0" vbProcedure="false">'10.Ops'!$A$3:$AG$36</definedName>
    <definedName function="false" hidden="false" localSheetId="10" name="_xlnm._FilterDatabase_0_0" vbProcedure="false">'11.Staff'!$A$3:$Y$39</definedName>
    <definedName function="false" hidden="false" localSheetId="11" name="_xlnm._FilterDatabase_0_0" vbProcedure="false">'12.Assets'!$A$3:$O$40</definedName>
    <definedName function="false" hidden="false" localSheetId="12" name="_xlnm._FilterDatabase_0_0" vbProcedure="false">'13.Suppliers'!$A$3:$P$39</definedName>
    <definedName function="false" hidden="false" localSheetId="13" name="_xlnm._FilterDatabase_0_0" vbProcedure="false">'20.Services'!$A$3:$N$39</definedName>
    <definedName function="false" hidden="false" localSheetId="14" name="_xlnm._FilterDatabase_0_0" vbProcedure="false">'30.Clients'!$A$3:$N$39</definedName>
    <definedName function="false" hidden="false" localSheetId="15" name="_xlnm._FilterDatabase_0_0" vbProcedure="false">'40.Environment'!$A$3:$N$39</definedName>
    <definedName function="false" hidden="false" localSheetId="16" name="_xlnm._FilterDatabase_0_0" vbProcedure="false">'51.Finance'!$A$3:$I$39</definedName>
    <definedName function="false" hidden="false" localSheetId="17" name="_xlnm._FilterDatabase_0_0" vbProcedure="false">'99.DayPlan'!$A$3:$G$55</definedName>
  </definedNames>
  <calcPr iterateCount="100" refMode="A1" iterate="false" iterateDelta="0.001"/>
  <pivotCaches>
    <pivotCache cacheId="1" r:id="rId22"/>
  </pivotCaches>
  <extLst>
    <ext xmlns:loext="http://schemas.libreoffice.org/" uri="{7626C862-2A13-11E5-B345-FEFF819CDC9F}">
      <loext:extCalcPr stringRefSyntax="CalcA1"/>
    </ext>
  </extLst>
</workbook>
</file>

<file path=xl/sharedStrings.xml><?xml version="1.0" encoding="utf-8"?>
<sst xmlns="http://schemas.openxmlformats.org/spreadsheetml/2006/main" count="4591" uniqueCount="1213">
  <si>
    <t xml:space="preserve"># INTRODUCTION</t>
  </si>
  <si>
    <t xml:space="preserve">The Management Spreadsheet (MSS) is a Software built in LibreOffice and saved as Excel xlsx file.</t>
  </si>
  <si>
    <t xml:space="preserve">It is considered a Tool and integral part of the *Management Framework* as discused in the note MGT: Legend.</t>
  </si>
  <si>
    <t xml:space="preserve">This software can be used on a standalone basis but its strength is in use with the MGT: xxx notes. </t>
  </si>
  <si>
    <t xml:space="preserve">The software can be found wihtin the management file structure in the following location: ~/mgt/mgt.xlsx</t>
  </si>
  <si>
    <t xml:space="preserve">MSS is the same for perso and work context, and the master of the functionality is maintained in the perso context.</t>
  </si>
  <si>
    <t xml:space="preserve">As per the license, see below, the software can be used freely, but it is stressed here that that free distribution only pertains to concepts and functionality.</t>
  </si>
  <si>
    <t xml:space="preserve">In other words, data collected in the spreadsheet is confidential for the context used, and even specific to the Venture.</t>
  </si>
  <si>
    <t xml:space="preserve">In order to use this file efficiently the key concepts of the Management Framework need to be understood. </t>
  </si>
  <si>
    <t xml:space="preserve">These concepts are discussed in the note MGT: Legend. The implementation of the concepts through Tools is discussed in note MGT: 99.Tools.</t>
  </si>
  <si>
    <t xml:space="preserve">All sheets in MSS are functionally the same in perso and work context with one exception (see further below).</t>
  </si>
  <si>
    <t xml:space="preserve">This in turn means they seek to collect the same data types and to calculate the same values.</t>
  </si>
  <si>
    <t xml:space="preserve">Sheets have tab colors that indicate the type of sheet they are, they are explained below in [# SHEETS].</t>
  </si>
  <si>
    <t xml:space="preserve">The Sheet=readme (the one you are currently reading) is the same for perso and work context.</t>
  </si>
  <si>
    <t xml:space="preserve">Like the entire file, it is maintained in the perso context, and is copied as is to the work context.</t>
  </si>
  <si>
    <t xml:space="preserve">The only sheets that are not functionally the same are PT_xxx sheets i.e. sheets with Pivot Tables based on data in the other sheets.</t>
  </si>
  <si>
    <t xml:space="preserve">The PT_xxx sheets are used to report to different Stakeholders and they depend strictly on the context.</t>
  </si>
  <si>
    <t xml:space="preserve">The PT_xxx sheets all have white tab color to clearly set them apart.</t>
  </si>
  <si>
    <t xml:space="preserve">Within all Sheets *Column headings* are grey with white text.</t>
  </si>
  <si>
    <t xml:space="preserve">For work context, where context specific data needs to be added, the column heading should be blue (with white text).</t>
  </si>
  <si>
    <t xml:space="preserve">Details are provided below under [# COLUMNS]</t>
  </si>
  <si>
    <t xml:space="preserve"># LICENSE</t>
  </si>
  <si>
    <t xml:space="preserve">The license of this software is as per [MGT: Legend # LICENSE].  It is repeated here.</t>
  </si>
  <si>
    <t xml:space="preserve">MSS is a Tool for the implementation of the Management Framework based on [MGT: Legend # PROFILE] and [MGT: 99.Tools ## MSS].</t>
  </si>
  <si>
    <t xml:space="preserve">Copyright (c) 2022 Sander Elzinga,    sander.elzinga@gmail.com</t>
  </si>
  <si>
    <t xml:space="preserve"> </t>
  </si>
  <si>
    <t xml:space="preserve">This program is free software: you can redistribute it and/or modify</t>
  </si>
  <si>
    <t xml:space="preserve">it under the terms of the GNU General Public License as published by</t>
  </si>
  <si>
    <t xml:space="preserve">the Free Software Foundation, either version 3 of the License, or</t>
  </si>
  <si>
    <t xml:space="preserve">(at your option) any later version.</t>
  </si>
  <si>
    <t xml:space="preserve">This program is distributed in the hope that it will be useful,</t>
  </si>
  <si>
    <t xml:space="preserve">but WITHOUT ANY WARRANTY; without even the implied warranty of</t>
  </si>
  <si>
    <t xml:space="preserve">MERCHANTABILITY or FITNESS FOR A PARTICULAR PURPOSE.  See the</t>
  </si>
  <si>
    <t xml:space="preserve">GNU General Public License for more details.</t>
  </si>
  <si>
    <t xml:space="preserve">You should have received a copy of the GNU General Public License</t>
  </si>
  <si>
    <t xml:space="preserve">along with this program. If not, see &lt;https://www.gnu.org/licenses/&gt;.</t>
  </si>
  <si>
    <t xml:space="preserve">The data in sheets*) is not part of the GNU License, nor is it part of the Creative Commons license as mentioned in [MGT: Legend # LICENSE]. </t>
  </si>
  <si>
    <t xml:space="preserve">As such, none of the data in the sheets  *) can be distributed outside of this work context.</t>
  </si>
  <si>
    <t xml:space="preserve">*) Data is the data entered in addition to the formulas, static data, headers, and in addition of the data already provided in the master file.</t>
  </si>
  <si>
    <t xml:space="preserve"># SHEETS</t>
  </si>
  <si>
    <t xml:space="preserve">    ## Overview</t>
  </si>
  <si>
    <t xml:space="preserve">Sheets are aligned to specific parts of the [MGT: 99.Tools ## RPT] and have therefore specific tab colours.</t>
  </si>
  <si>
    <t xml:space="preserve">The list of sheets are provided below with an explanation.</t>
  </si>
  <si>
    <t xml:space="preserve">Most sheets have a first Row that explains for each column in the Row what the undelrying data is.</t>
  </si>
  <si>
    <t xml:space="preserve">This makes each sheet self explanatory because it suffices to read the details in the first row.</t>
  </si>
  <si>
    <t xml:space="preserve">Readme</t>
  </si>
  <si>
    <t xml:space="preserve">This sheet. It explains what the MSS file does.</t>
  </si>
  <si>
    <t xml:space="preserve">PT_xxx</t>
  </si>
  <si>
    <t xml:space="preserve">Sheet names starting with PT_ is a Pivot Table report for a specific purpose, there can be many sheets. </t>
  </si>
  <si>
    <t xml:space="preserve">M0</t>
  </si>
  <si>
    <t xml:space="preserve">Mangerial 7 nr 0: Management</t>
  </si>
  <si>
    <t xml:space="preserve">M1</t>
  </si>
  <si>
    <t xml:space="preserve">Mangerial 7 nr 1: Revenue</t>
  </si>
  <si>
    <t xml:space="preserve">M2</t>
  </si>
  <si>
    <t xml:space="preserve">Mangerial 7 nr 2: Cost</t>
  </si>
  <si>
    <t xml:space="preserve">M3</t>
  </si>
  <si>
    <t xml:space="preserve">Mangerial 7 nr 3: Risk</t>
  </si>
  <si>
    <t xml:space="preserve">M4</t>
  </si>
  <si>
    <t xml:space="preserve">Mangerial 7 nr 4: Run</t>
  </si>
  <si>
    <t xml:space="preserve">M5</t>
  </si>
  <si>
    <t xml:space="preserve">Mangerial 7 nr 5: Change</t>
  </si>
  <si>
    <t xml:space="preserve">M6</t>
  </si>
  <si>
    <t xml:space="preserve">Mangerial 7 nr 6: Intel</t>
  </si>
  <si>
    <t xml:space="preserve">5.Staff</t>
  </si>
  <si>
    <t xml:space="preserve">RPT Component with details from Resource =Staff</t>
  </si>
  <si>
    <t xml:space="preserve">6.Assets</t>
  </si>
  <si>
    <t xml:space="preserve">RPT Component with details from Resource = Assets</t>
  </si>
  <si>
    <t xml:space="preserve">7.Supplier</t>
  </si>
  <si>
    <t xml:space="preserve">RPT Component with details from Resource = Suppliers</t>
  </si>
  <si>
    <t xml:space="preserve">8.Services</t>
  </si>
  <si>
    <t xml:space="preserve">Profile Tree component with details frrom the Services offered to Clients.</t>
  </si>
  <si>
    <t xml:space="preserve">9.Clients</t>
  </si>
  <si>
    <t xml:space="preserve">Profile Tree component with details frrom the Clients of the Venture</t>
  </si>
  <si>
    <t xml:space="preserve">A.Environment</t>
  </si>
  <si>
    <t xml:space="preserve">Profile Tree component with details frrom the Environment.</t>
  </si>
  <si>
    <t xml:space="preserve">B.Finance</t>
  </si>
  <si>
    <t xml:space="preserve">Optional: Slides for Business Functions if relevant (Finance, Procurement, etc).</t>
  </si>
  <si>
    <t xml:space="preserve">Static</t>
  </si>
  <si>
    <t xml:space="preserve">Contains static data used on other sheets</t>
  </si>
  <si>
    <t xml:space="preserve">    ## Using Sheets</t>
  </si>
  <si>
    <t xml:space="preserve">M0 – M6</t>
  </si>
  <si>
    <t xml:space="preserve">Refer to [MGT: 99.Tools ## Mxx</t>
  </si>
  <si>
    <t xml:space="preserve">11.Staff</t>
  </si>
  <si>
    <t xml:space="preserve">Data in Sheet = 5.Staff represents details of each Staff used within the Venture. They can be internal and external.</t>
  </si>
  <si>
    <t xml:space="preserve">Note that all Resources (Suppliers, Assets, Stafff) have a column called Parent which permits defining a hierarchy within each Resource.</t>
  </si>
  <si>
    <t xml:space="preserve">12.Assets</t>
  </si>
  <si>
    <t xml:space="preserve">Data in Sheet = 6.Assets represents details of each Asset used within the Venture. They can be internal and external.</t>
  </si>
  <si>
    <t xml:space="preserve">This excludes data that is maintained by the Staff that responsbilities have been delegated to.</t>
  </si>
  <si>
    <t xml:space="preserve">13.Supplier</t>
  </si>
  <si>
    <t xml:space="preserve">Data in Sheet = 7.Supplier represents details of each Supplier used within the Venture. They can be internal and external.</t>
  </si>
  <si>
    <t xml:space="preserve">Static data contains items used to select content of a Cell using “Validity”/ “Data Validation” of LibreOffice/Excel within other Sheets</t>
  </si>
  <si>
    <t xml:space="preserve"># COLUMNS</t>
  </si>
  <si>
    <t xml:space="preserve">There is a specific color coding format logic to Column Headers as per below:</t>
  </si>
  <si>
    <t xml:space="preserve">Grey witih white Text</t>
  </si>
  <si>
    <t xml:space="preserve">Default format of all column headers that are part of the License (see above) and that should be available in perso and work context.</t>
  </si>
  <si>
    <t xml:space="preserve">Blue with white text</t>
  </si>
  <si>
    <t xml:space="preserve">This column contains data that is specific to the Venture and that does not need to be available in both perso and work context.</t>
  </si>
  <si>
    <t xml:space="preserve"># VERSIONING</t>
  </si>
  <si>
    <t xml:space="preserve">0.0.0</t>
  </si>
  <si>
    <t xml:space="preserve">Initital creation of the file</t>
  </si>
  <si>
    <t xml:space="preserve">0.0.1</t>
  </si>
  <si>
    <t xml:space="preserve">Added Sheet=’Plan’ and Sheet=’Static’ and first stab at ‘Plan” logic based on [MGT: Tools ## Gantt Chart].</t>
  </si>
  <si>
    <t xml:space="preserve">1.0.0</t>
  </si>
  <si>
    <t xml:space="preserve">Replaced ‘Plan’ with ‘Tactica‘ and added the full Gantt Chart logic. Tested in production environment at work.</t>
  </si>
  <si>
    <t xml:space="preserve"> - Columns with final values and columns with T_ values (grouped together so as to hide in production)</t>
  </si>
  <si>
    <t xml:space="preserve"> - Columns with conditional formatting based on T_ columns</t>
  </si>
  <si>
    <t xml:space="preserve">NB: Borders do not work well when saving as an xlsx file !</t>
  </si>
  <si>
    <t xml:space="preserve">1.0.1</t>
  </si>
  <si>
    <t xml:space="preserve">Added ‘# LICENSE’ in this sheet</t>
  </si>
  <si>
    <t xml:space="preserve">1.0.2</t>
  </si>
  <si>
    <t xml:space="preserve">Added Column ‘Status’ in Planning</t>
  </si>
  <si>
    <t xml:space="preserve">1.0.3</t>
  </si>
  <si>
    <t xml:space="preserve">Added T_Ettor logic and a column ‘!’ to reflect a red ‘!’ if T_Error != none.</t>
  </si>
  <si>
    <t xml:space="preserve">1.0.4</t>
  </si>
  <si>
    <t xml:space="preserve">Added current month indicator</t>
  </si>
  <si>
    <t xml:space="preserve">1.0.5</t>
  </si>
  <si>
    <t xml:space="preserve">Updated formatting of Gantt Colors and changed Bold to Normal for Column headers</t>
  </si>
  <si>
    <t xml:space="preserve">1.0.6</t>
  </si>
  <si>
    <t xml:space="preserve">Changed ‘chg’ to ‘Change’ so that it correctly reflects the [MGT: Legend] notion of Run and Change. All formulas updated too.</t>
  </si>
  <si>
    <t xml:space="preserve">1.0.7</t>
  </si>
  <si>
    <t xml:space="preserve">First stab at Sheet = Operational</t>
  </si>
  <si>
    <t xml:space="preserve">1.1.0</t>
  </si>
  <si>
    <t xml:space="preserve">Finalised Sheet=Operational</t>
  </si>
  <si>
    <t xml:space="preserve">1.2.0</t>
  </si>
  <si>
    <t xml:space="preserve">Various improvements to Sheet = Tactical and bug-fiex. Notably: account for ‘*’ in input data *which resolves against the first occurence of a lookup table! Also, default Owener is ‘SE’.</t>
  </si>
  <si>
    <t xml:space="preserve">1.2.1</t>
  </si>
  <si>
    <t xml:space="preserve">Updated T_NetStatus to be simpler (only possible status = “Overdue” or the Value from “T_Status). </t>
  </si>
  <si>
    <t xml:space="preserve">Updated SortM to sort such that within a Goal it sorts on Owner first.</t>
  </si>
  <si>
    <t xml:space="preserve">Updated SortA to reflect 0,1, 4 or empty. So that by sorting them, all Cells in Column A with some data are all below Total / Change / Run and below eachother: easier to delete all data.</t>
  </si>
  <si>
    <t xml:space="preserve">Updated T_Color to become ‘Amber’ if T_NetStatus = Started + also  Pending or Urgent</t>
  </si>
  <si>
    <t xml:space="preserve">Added a Color Legend </t>
  </si>
  <si>
    <t xml:space="preserve">Added Stats per ‘Who’ in hidden columns</t>
  </si>
  <si>
    <t xml:space="preserve">Updated Sheet = Operational to use only one single Month (Jan) using a INDIRECT formula.</t>
  </si>
  <si>
    <t xml:space="preserve">1.2.2</t>
  </si>
  <si>
    <t xml:space="preserve">Corrected bug fix (circular reference) in Sheet = Operational. Updated col OO in Sheet = Tactical to also flag as ‘&amp;’ if Ptype = Routine</t>
  </si>
  <si>
    <t xml:space="preserve">1.2.3</t>
  </si>
  <si>
    <t xml:space="preserve">Sheet=Tactical: Update Col T_EffortEstimated to 0 if Col Lvl &gt;3.</t>
  </si>
  <si>
    <t xml:space="preserve">Sheet=Tactical: Update Col Who to TRIM output, same for Col Freq</t>
  </si>
  <si>
    <t xml:space="preserve">Sheet=Tactical: Add more useful stats in hidden rows/cols section including breakdown %Routine.</t>
  </si>
  <si>
    <t xml:space="preserve">Sheet=Operational: updated formatting for Private Holidays to be white text for AM and PM (was black). Updated Procedures to Copy paste formats after inserting rows!!!</t>
  </si>
  <si>
    <t xml:space="preserve">1.2.4</t>
  </si>
  <si>
    <t xml:space="preserve">Sheet=Tactical: Update Col Description to use TRIM(SUBSTITUTE(M37,IF(E37="",""," "&amp;E37),"") i/o TRIM(SUBSTITUTE(M37,E37,"")) to avoid that “COO” would be substited with “” if the T_OO col = OO</t>
  </si>
  <si>
    <t xml:space="preserve">1.2.5</t>
  </si>
  <si>
    <t xml:space="preserve">Sheet=Tactical. Update Col=SOrtM and replace the reference to Col=Who (Hxx) with Col=Start (Aixx)</t>
  </si>
  <si>
    <t xml:space="preserve">Sheet=Tactical bugfix Col=Start : IF T_Start &gt; T_End then T_End else T_Start,. This is to avoid cases where completed tasks seem to start after the end date if there is only one date in (...)</t>
  </si>
  <si>
    <t xml:space="preserve">Sheet=Tactical: bugfix Col = End: IF T_Complete = “none” T_End else T_Complete. This is to assure that a Project that is completed gets as End date the completion date.</t>
  </si>
  <si>
    <t xml:space="preserve">1.2.6</t>
  </si>
  <si>
    <t xml:space="preserve">Sheet=Tactical move ‘!’ column before column LvL. Group all collums from Value to Lvl so they don’t appear in Reports</t>
  </si>
  <si>
    <t xml:space="preserve">2.0.0</t>
  </si>
  <si>
    <t xml:space="preserve">Complete overhaul to have the entire MGT: xxx strcture embedded in an excel file.</t>
  </si>
  <si>
    <t xml:space="preserve">Creation of new Sheets: Planning (Goals &amp;Objectives – Routines, Projects-), Organising (Activities &amp; Groups), Suppliers, Assets</t>
  </si>
  <si>
    <t xml:space="preserve">Use new color codes for sheets: Management Functions = Black, Supplier/Assets/Staff = blue, Tactical/Operational = yellow, Static = red</t>
  </si>
  <si>
    <t xml:space="preserve">2.0.1</t>
  </si>
  <si>
    <t xml:space="preserve">Updated Planning, Organising, Suppliers, Assets, Staff with default values for Activity = MyActivity.</t>
  </si>
  <si>
    <t xml:space="preserve">2.0.2</t>
  </si>
  <si>
    <t xml:space="preserve">Updated Planning, Organising, Assets, Staff, Supplier as result of first use in a biz environment.</t>
  </si>
  <si>
    <t xml:space="preserve"> - Deleted bottomw row with ‘x’ that was used as a stop when doing CTRL+ArrowDown</t>
  </si>
  <si>
    <t xml:space="preserve">2.0.3</t>
  </si>
  <si>
    <t xml:space="preserve">Updated Columns in Sheet = Planning to reflect the new logic as per [MGT: Tools ## Objective Notation].</t>
  </si>
  <si>
    <t xml:space="preserve">- Changed logic in SHeet = Organising based on logic in [MGT: Tools ## RPT] that says Activity = Group</t>
  </si>
  <si>
    <t xml:space="preserve">- Added Column = Reference in Organising (for Org Charts), Suppliers, Assets, Staff.</t>
  </si>
  <si>
    <t xml:space="preserve">2.0.4</t>
  </si>
  <si>
    <t xml:space="preserve">Added several calculated Columns</t>
  </si>
  <si>
    <t xml:space="preserve">- Column = Last Note, with the last row of the Cell in Column = Notes</t>
  </si>
  <si>
    <t xml:space="preserve"> - Column = Last Note Update, with a calculated date based on the date of the Last Note Column</t>
  </si>
  <si>
    <t xml:space="preserve"> - Column = Updated Date, with either the Last Note Update value of the Created value</t>
  </si>
  <si>
    <t xml:space="preserve">2.0.5</t>
  </si>
  <si>
    <t xml:space="preserve">Updated this sheet and added more details to differentiate between perso and work context in a constructive manner.</t>
  </si>
  <si>
    <t xml:space="preserve">2.0.6</t>
  </si>
  <si>
    <t xml:space="preserve">Added Columns = “Days since Xxx” in Sheet = Planning. Changed cell A1 to always have today’s date.</t>
  </si>
  <si>
    <t xml:space="preserve">2.0.7</t>
  </si>
  <si>
    <t xml:space="preserve">In Sheet  = Planning added Column = OO Indicator</t>
  </si>
  <si>
    <t xml:space="preserve">2.0.8</t>
  </si>
  <si>
    <t xml:space="preserve">In Sheet  = Planning added </t>
  </si>
  <si>
    <t xml:space="preserve"> - Column = Task Status (formula)</t>
  </si>
  <si>
    <t xml:space="preserve"> - Column = Goal (formula)</t>
  </si>
  <si>
    <t xml:space="preserve"> - Column = Days since Updated (formula)</t>
  </si>
  <si>
    <t xml:space="preserve"> - Column = Days to End Date (formula)</t>
  </si>
  <si>
    <t xml:space="preserve"> - Column = Last Task (formula)</t>
  </si>
  <si>
    <t xml:space="preserve">2.0.9</t>
  </si>
  <si>
    <t xml:space="preserve">Updated Row 1 to better indicate expected content.</t>
  </si>
  <si>
    <t xml:space="preserve">2.1.0</t>
  </si>
  <si>
    <t xml:space="preserve">Added Sheet Project_template with a template for project management</t>
  </si>
  <si>
    <t xml:space="preserve">2.1.1</t>
  </si>
  <si>
    <t xml:space="preserve">Added Today Indicator in Sheet = Project</t>
  </si>
  <si>
    <t xml:space="preserve">2.1.2</t>
  </si>
  <si>
    <t xml:space="preserve">In Sheet = Planning renamed Sponsor to Beneficiary in line with [MGT: Tools]</t>
  </si>
  <si>
    <t xml:space="preserve">In sheet = Planning added comments to Start and End date to reflect when Routine are first (last) used.</t>
  </si>
  <si>
    <t xml:space="preserve">Added notion of Run Goal / Change Goal instead of Goal. Updated Static to reflect this.</t>
  </si>
  <si>
    <t xml:space="preserve">2.1.3</t>
  </si>
  <si>
    <t xml:space="preserve">Added Column = Sort in Sheet = Planning</t>
  </si>
  <si>
    <t xml:space="preserve">2.2.0</t>
  </si>
  <si>
    <t xml:space="preserve">Overhaul of Sheet = Project and Sheet = Planning such that values can be copied from one to the other.</t>
  </si>
  <si>
    <t xml:space="preserve">2.2.1</t>
  </si>
  <si>
    <t xml:space="preserve">Overhaul of Sheet = Planning to Integrate a Dynamic Gantt Chart and built in Hierachy of all items</t>
  </si>
  <si>
    <t xml:space="preserve">2.2.2</t>
  </si>
  <si>
    <t xml:space="preserve">Added colord Coding in the Gantt Chart in Sheet = Planning for Projects and Streams Overdue or Completed</t>
  </si>
  <si>
    <t xml:space="preserve">2.2.3</t>
  </si>
  <si>
    <t xml:space="preserve">Corrected bug in Sheet = Planning for Column = Status where it would show overdue if EndDate = empty</t>
  </si>
  <si>
    <t xml:space="preserve">Corrected bug in Dynamic Gantt Chart in Sheet = Planing and in Sheet = Project to account for the step size used in cell $BY$1..</t>
  </si>
  <si>
    <t xml:space="preserve">2.2.4</t>
  </si>
  <si>
    <t xml:space="preserve">Added Column = Rep? in Sheet = Planning to facilitate meetings with Managers and reports to send to Managers.</t>
  </si>
  <si>
    <t xml:space="preserve">2.2.5</t>
  </si>
  <si>
    <t xml:space="preserve">Added Column = Item Type in Sheet = Planing to help with Pivot Table filtering</t>
  </si>
  <si>
    <t xml:space="preserve">2.2.6</t>
  </si>
  <si>
    <t xml:space="preserve">Updated sort to assure Routines are sorted by Description within a specific Goal</t>
  </si>
  <si>
    <t xml:space="preserve">2.2.7</t>
  </si>
  <si>
    <t xml:space="preserve">Added Column = Urg in Sheet = Planning to reflect the notion of Urgency as per [MGT: Tools ## Project Management]</t>
  </si>
  <si>
    <t xml:space="preserve">2.3.0</t>
  </si>
  <si>
    <t xml:space="preserve">Added Planning Type = Task to be able to have three levels underneat for  pRoject: Project – Stream – Task</t>
  </si>
  <si>
    <t xml:space="preserve">2.3.1</t>
  </si>
  <si>
    <t xml:space="preserve">Updated Color Coding to accomodate for the addition of Task (see version 2.3.0). </t>
  </si>
  <si>
    <t xml:space="preserve">Deleted Sheet = Project as the functionlity there is fully integrated in Sheet = Planning.</t>
  </si>
  <si>
    <t xml:space="preserve">Renamed Task from version 2.3.0 to Action to not conflict with the notion of Task in general and as defined in [MGT: Legend]</t>
  </si>
  <si>
    <t xml:space="preserve">2.3.2</t>
  </si>
  <si>
    <t xml:space="preserve">Added Column = Actual Effort and Renamed “Effort” to “Expected Effort” in Sheet = Planning.</t>
  </si>
  <si>
    <t xml:space="preserve">2.3.3</t>
  </si>
  <si>
    <t xml:space="preserve">Updated Sheet = Planning to account for the new Objective Notation in which |link| always points to a name (see note MGT: Tools)</t>
  </si>
  <si>
    <t xml:space="preserve">2.4.0</t>
  </si>
  <si>
    <t xml:space="preserve">Deleted sheet = Tactical</t>
  </si>
  <si>
    <t xml:space="preserve">Updated Sheet = Planning to account for the new logic as per MGT: Legend that says that Routines have sub-routines (Subs) which can have sub-routines themselves (Drill)</t>
  </si>
  <si>
    <t xml:space="preserve">2.4.1</t>
  </si>
  <si>
    <t xml:space="preserve">Updated Sheet = Planning to simplify the manner in which Column = Sort is built using several other columns</t>
  </si>
  <si>
    <t xml:space="preserve">2.4.2</t>
  </si>
  <si>
    <t xml:space="preserve">Updated Column = Urg to match the new guidelines in [MGT: Tools ## Project Management]</t>
  </si>
  <si>
    <t xml:space="preserve">2.4.3</t>
  </si>
  <si>
    <t xml:space="preserve">Updated Sheet = Planning. Added Column = OO Indic and updated existing Column = OO Indicator to Full OO Undicator.</t>
  </si>
  <si>
    <t xml:space="preserve">Updated Sheet = Planning and replaced all occurences of VLOOKUP() with INDEX(MATCH())</t>
  </si>
  <si>
    <t xml:space="preserve">2.4.4</t>
  </si>
  <si>
    <t xml:space="preserve">Updated sheet = Planning. Added Columns = Deliverable, Revenue Impact, Cost Impact, Risk Impact, Other Impact.</t>
  </si>
  <si>
    <t xml:space="preserve">2.4.5</t>
  </si>
  <si>
    <t xml:space="preserve">Updated Sheet = Suppliers, added Column = ID</t>
  </si>
  <si>
    <t xml:space="preserve">2.5.0</t>
  </si>
  <si>
    <t xml:space="preserve">Updated Sheet = Planning and added Formulas to calculate Total Target Effort and Actual Effort.</t>
  </si>
  <si>
    <t xml:space="preserve">2.5.1</t>
  </si>
  <si>
    <t xml:space="preserve">Bigfixed sheet Sheet = Planning where Row 3 was missing some references to Row 2</t>
  </si>
  <si>
    <t xml:space="preserve">2.5.2</t>
  </si>
  <si>
    <t xml:space="preserve">Updated all sheets first row to indicate whether values are Optional/Mandatory and updated the explanation for each column.</t>
  </si>
  <si>
    <t xml:space="preserve">Aligned the requirement for Notes in Sheet = Planning to all Sheets i.e. start with “dd-mm-yy: “</t>
  </si>
  <si>
    <t xml:space="preserve">2.5.3</t>
  </si>
  <si>
    <t xml:space="preserve">Updated Sheet = Planning added Column = Ativity in line with [MGT: Tools]</t>
  </si>
  <si>
    <t xml:space="preserve">2.5.4</t>
  </si>
  <si>
    <t xml:space="preserve">Updated Sheet = Static to align to the [MGT: Tools ## Spreadsheet Data Standards].</t>
  </si>
  <si>
    <t xml:space="preserve">2.6.0</t>
  </si>
  <si>
    <t xml:space="preserve">Added Sheet = Delegation (Draft) to prepare for a delegation of part of Management to others.</t>
  </si>
  <si>
    <t xml:space="preserve">Added Column = Key in Sheet = Planning and added Column = Actual Effort% as well.</t>
  </si>
  <si>
    <t xml:space="preserve">2.6.1</t>
  </si>
  <si>
    <t xml:space="preserve">Added the option of Sub/Drill and Stream/Action to Sheet = Leading, Column = Planning Type.</t>
  </si>
  <si>
    <t xml:space="preserve">2.6.2</t>
  </si>
  <si>
    <t xml:space="preserve">Updated Gannt Chart Formula to use OR i/o IF + IF</t>
  </si>
  <si>
    <t xml:space="preserve">Updated Sheet = Readme with more details on Sheet = Leading.</t>
  </si>
  <si>
    <t xml:space="preserve">Updated all sheets to reflect whether the data in the coliumn is based on Validity/Validation of data in Sheet = Static.</t>
  </si>
  <si>
    <t xml:space="preserve">2.6.3</t>
  </si>
  <si>
    <t xml:space="preserve">Updated all sheets to have a second row that can be used for any purpose (mostly useful for Sheet = Planning)</t>
  </si>
  <si>
    <t xml:space="preserve">Deleted Sheet = Operational</t>
  </si>
  <si>
    <t xml:space="preserve">2.6.4</t>
  </si>
  <si>
    <t xml:space="preserve">Updated Sheet = Planning, Column = Delg? to show Yes if Activitiy of the item &lt;&gt; the Activity of the Manager (default = STE).</t>
  </si>
  <si>
    <t xml:space="preserve">Created Sheet = Leading and Sheet = Controlling</t>
  </si>
  <si>
    <t xml:space="preserve">2.6.5</t>
  </si>
  <si>
    <t xml:space="preserve">Updated Sheet = Planning with default values for Routines, Subs and Drills for Goal = mgt.</t>
  </si>
  <si>
    <t xml:space="preserve">2.6.6</t>
  </si>
  <si>
    <t xml:space="preserve">Updated Sheet = Planning adding logic to Column = Report to allow for reporting periods &gt; 1 week by updating Row = 2 for the same column with a nr &gt; 0.</t>
  </si>
  <si>
    <t xml:space="preserve">2.6.7</t>
  </si>
  <si>
    <t xml:space="preserve">Updated Sheet = Planning with Template 4.01 Meet Xxx items</t>
  </si>
  <si>
    <t xml:space="preserve">2.6.8</t>
  </si>
  <si>
    <t xml:space="preserve">Updated Sheet = Planning: created new column = Objective.</t>
  </si>
  <si>
    <t xml:space="preserve">Updated Sheet = Planning: Added new Routines for Goal = mgt and updated the 4 POLC Routines to align to the updated note [MGT: Tools]</t>
  </si>
  <si>
    <t xml:space="preserve">2.6.9</t>
  </si>
  <si>
    <t xml:space="preserve">Updated Sheet = Planning. Moved Column = Open Tasks to Column = Tasks ? and moved it forward to just before Column = Planning Type.</t>
  </si>
  <si>
    <t xml:space="preserve">Updated Sub = Maintain Tasks to include the fact that Column = Tasks for that item is the to-do list for the Venture.</t>
  </si>
  <si>
    <t xml:space="preserve">Bug Fixed the formula for the last Date in the Gantt Chart to use formula: =MAX(AM:AM,DATE(YEAR($A$1),12,31)). This solves the case where none of the items in column AM:AM has a date !</t>
  </si>
  <si>
    <t xml:space="preserve">2.7.0</t>
  </si>
  <si>
    <t xml:space="preserve">Added new Sheets = Clients, Environment and Services and updated Readme accordingly.</t>
  </si>
  <si>
    <t xml:space="preserve">2.7.1</t>
  </si>
  <si>
    <t xml:space="preserve">Updated all Sheet names in line with MGT: Legend, prefixing with nrs or letters A, B,...</t>
  </si>
  <si>
    <t xml:space="preserve">2.7.2</t>
  </si>
  <si>
    <t xml:space="preserve">Added Bylaws in Sheet = Planning</t>
  </si>
  <si>
    <t xml:space="preserve">2.7.3</t>
  </si>
  <si>
    <t xml:space="preserve">Added Tab Color = Orange for all [MGT: 99.Tools] related items</t>
  </si>
  <si>
    <t xml:space="preserve">2.7.4</t>
  </si>
  <si>
    <t xml:space="preserve">Added Sheet = 10.Ops. Which reflects a the type of work performed for each activity and makes sharing it as a Team PLanning easier. It should tie in to the Operational Plan or Operating Model (COM), see MGT: 99.Tools)</t>
  </si>
  <si>
    <t xml:space="preserve">The Sheet = 10.Ops is a simpler and manual, version of Sheet = 01.Planning. The latter is more for the Manager. The former is for the Manager of the various Activities to provide a high-level idea of the type of work worked on. </t>
  </si>
  <si>
    <t xml:space="preserve">The example has been filled in for a Business Manager / COO type of role. Different Routines/, Subs are possible</t>
  </si>
  <si>
    <t xml:space="preserve">2.7.5</t>
  </si>
  <si>
    <t xml:space="preserve">Updated Sheet = 04.Controlling</t>
  </si>
  <si>
    <t xml:space="preserve">2.8.0</t>
  </si>
  <si>
    <t xml:space="preserve">Created Sheet = 04.01.BuJo in line with [MGT: 99.Tools ## BuJo MSS]</t>
  </si>
  <si>
    <t xml:space="preserve">Updated Sheet = 04.01.BuJo with improvements for tracking</t>
  </si>
  <si>
    <t xml:space="preserve">Added all Management Routines with relevant details.</t>
  </si>
  <si>
    <t xml:space="preserve">2.8.1</t>
  </si>
  <si>
    <t xml:space="preserve">Updated Sheet =04.01.BuJo with two columns: Tasks Left Nr and Tasks Left %</t>
  </si>
  <si>
    <t xml:space="preserve">2.8.2</t>
  </si>
  <si>
    <t xml:space="preserve">Updated Sheet = Static and Sheet =04.01.BuJo with several calculated columns.</t>
  </si>
  <si>
    <t xml:space="preserve">2.8.3</t>
  </si>
  <si>
    <t xml:space="preserve">Updated Sheet = 04.01.Bujo with improvements in Col = Alert and simplified the structure of the formulas by creating new Cols = Overdue?, Next wk? </t>
  </si>
  <si>
    <t xml:space="preserve">2.8.4</t>
  </si>
  <si>
    <t xml:space="preserve">Updated Sheet = 0.4.01.BuJo with a new column = Report Eligible based on the col = BuJo Report Eligible in Static and Col = Rep? now also uses this.</t>
  </si>
  <si>
    <t xml:space="preserve">2.8.5</t>
  </si>
  <si>
    <t xml:space="preserve">Updated Sheet = 04.01.Bujo with new Column = Start Date Override.</t>
  </si>
  <si>
    <t xml:space="preserve">2.8.6</t>
  </si>
  <si>
    <t xml:space="preserve">Updated Sheet = Static with Col = Goal, Goal Description and Goal Prio. Used this in Sheet = 04.01.BuJo to add Goal including in Sorting. Added a Force Rep column to force reporting even if the formula to Report says no.</t>
  </si>
  <si>
    <t xml:space="preserve">2.8.7</t>
  </si>
  <si>
    <t xml:space="preserve">Updated Sheet = Static with Col = BuJo Category. Used this in Sheet = 04.01.BuJo to be able to have one more BuJo index that can be used in Reporting.</t>
  </si>
  <si>
    <t xml:space="preserve">Updated Sheet = 0.4.01.BuJo , Col = Tag: allowing comma separated lists of multiple tags</t>
  </si>
  <si>
    <t xml:space="preserve">Updated Sheet = 0.4.01.BuJo , Col = Roadmap to indicate whether en entry is part of a Roadmap or not. BuJo Type = Roadmap has been deleted.  </t>
  </si>
  <si>
    <t xml:space="preserve">2.8.8</t>
  </si>
  <si>
    <t xml:space="preserve">Updated Sheet = 0.4.01.BuJo , Renamed Col = Cat to Sub-Goal. Updated Col = Sort to sort on Sub-Goals and then Projects.</t>
  </si>
  <si>
    <t xml:space="preserve">Renamed Sheet = 04.01.BuJo to 04.01.Mtrack. Updated MGT: 99.Tools accordingly.</t>
  </si>
  <si>
    <t xml:space="preserve">2.8.9</t>
  </si>
  <si>
    <t xml:space="preserve">Updated Sheet = 04.01.MT with 4 columns Gro +Rev, Pro +Rev, Opt +Rev/-Cost and Sec -Risk with explanation of what they represent.</t>
  </si>
  <si>
    <t xml:space="preserve">2.9.0</t>
  </si>
  <si>
    <t xml:space="preserve">Improved Sheet = 04.01.MT allowing for “ “ in Rep Override. Updated Col Gro, Pro, Opt and Sec to use just those words instead of ‘Gro +Rev’ etc.</t>
  </si>
  <si>
    <t xml:space="preserve">2.10.0</t>
  </si>
  <si>
    <t xml:space="preserve">Created Sheets = 04.02.BT1, etc for Reporting. Update will follow for finetuning of their use.</t>
  </si>
  <si>
    <t xml:space="preserve">3.0.0</t>
  </si>
  <si>
    <t xml:space="preserve">Major overhaul, reflected in readme: 01.Planning - 04.Controlling have been replaced by M0-M6.</t>
  </si>
  <si>
    <t xml:space="preserve">3.0.1</t>
  </si>
  <si>
    <t xml:space="preserve">Updated Sheet = M5. Deleted the notion of Run Goal/Routine/Sub/Drill to focus only on NT, Project, Stream and Action.</t>
  </si>
  <si>
    <t xml:space="preserve">Sheet = M5: Added same Task and Task completion column as in M0 and M4.</t>
  </si>
  <si>
    <t xml:space="preserve">Sheet = m5 bug fixed the Total Effort columns.</t>
  </si>
  <si>
    <t xml:space="preserve">3.1.0</t>
  </si>
  <si>
    <t xml:space="preserve">Update Sheet = Static. Defined a Name per Run and Change Goal with undlerying Sub-Goals. (Run and Change Goals in row 5, the sub-goals underneath).</t>
  </si>
  <si>
    <t xml:space="preserve">3.1.1</t>
  </si>
  <si>
    <t xml:space="preserve">Update Sheet = Static to have al Run Sub-Goals in line with [MGT: 99.Tools]</t>
  </si>
  <si>
    <t xml:space="preserve">3.1.2</t>
  </si>
  <si>
    <t xml:space="preserve">Bugfixed Sheet = M4: the sorting now works as expected and considers Goal, Sub-Goal and then name.</t>
  </si>
  <si>
    <t xml:space="preserve">3.1.3</t>
  </si>
  <si>
    <t xml:space="preserve">Add column Active? In Sheet = M5.</t>
  </si>
  <si>
    <t xml:space="preserve">Sheet = M5: Bug Fixed Formula for Coulm = Rep? To take into account the value in Col = Force Rep?</t>
  </si>
  <si>
    <t xml:space="preserve">3.1.4</t>
  </si>
  <si>
    <t xml:space="preserve">Bug-fixed Sheet = M0 (Col = Goal did have invalid Validity reference). Also added MC and MI to the management sub-goal, as per the udpated [MGT: 99.Legend]</t>
  </si>
  <si>
    <t xml:space="preserve">3.1.5</t>
  </si>
  <si>
    <t xml:space="preserve">Added Sub-Goal Resach adn Development to Goal = prd in Sheet = Static. And bugfixed Sheet = M4 for Sub-Goal.</t>
  </si>
  <si>
    <t xml:space="preserve">Sort</t>
  </si>
  <si>
    <t xml:space="preserve">- all -</t>
  </si>
  <si>
    <t xml:space="preserve">Item Type</t>
  </si>
  <si>
    <t xml:space="preserve">Lvl</t>
  </si>
  <si>
    <t xml:space="preserve">Self</t>
  </si>
  <si>
    <t xml:space="preserve">Hold Date</t>
  </si>
  <si>
    <t xml:space="preserve">Self+1 Pty</t>
  </si>
  <si>
    <t xml:space="preserve">Key</t>
  </si>
  <si>
    <t xml:space="preserve">Sum - Effort</t>
  </si>
  <si>
    <t xml:space="preserve">(empty)</t>
  </si>
  <si>
    <t xml:space="preserve">VNT</t>
  </si>
  <si>
    <t xml:space="preserve">Action        Some Action for the StudySTE</t>
  </si>
  <si>
    <t xml:space="preserve">ProjectSome Study Project for sub-cat 1STE</t>
  </si>
  <si>
    <t xml:space="preserve">ProjectSome Study Project for sub-cat 2STE</t>
  </si>
  <si>
    <t xml:space="preserve">Stream    Some Stream of the projectSTE</t>
  </si>
  <si>
    <t xml:space="preserve">Total Result</t>
  </si>
  <si>
    <t xml:space="preserve">Calculated. 6W. Who: Performer. If Column = Who is populated the value of Who else myself.</t>
  </si>
  <si>
    <t xml:space="preserve">Calculated. 6W Who: Beneficiary. The beneficiary of the Entry. The default is the venture.</t>
  </si>
  <si>
    <t xml:space="preserve">Calculated. Date of the Last Note or epoch based on Col = Notes.</t>
  </si>
  <si>
    <t xml:space="preserve">Calcualted. Time between Last Date and Start Date.</t>
  </si>
  <si>
    <t xml:space="preserve">Calculated. Nr Tasks in Status indicated by name of this Column. The IF() is to account for the fact that typing anything at the start of a cell is not preceded the &lt;ENTER&gt; Character CHAR(10).</t>
  </si>
  <si>
    <t xml:space="preserve">Calaculated. Sum of all Tasks in Tasks.</t>
  </si>
  <si>
    <t xml:space="preserve">Calculated. Year of Last Date.</t>
  </si>
  <si>
    <t xml:space="preserve">Calculated. Month of Last Date.</t>
  </si>
  <si>
    <t xml:space="preserve">Calculated. Week number of Last Date.</t>
  </si>
  <si>
    <t xml:space="preserve">Calculated. The sort relevance of the Journal Entry based on the Bujo Type and Sheet = Static.</t>
  </si>
  <si>
    <t xml:space="preserve">Calculated. Whether the Journal entry is a recurring type or not.</t>
  </si>
  <si>
    <t xml:space="preserve">Calculated. Establishes whether the item is reportable based on Tracking Type.</t>
  </si>
  <si>
    <t xml:space="preserve">Calculated. Determines if the today is within X weeks of the Deadline with X determined in $D$2.</t>
  </si>
  <si>
    <t xml:space="preserve">Calculated. Determines if the today is past deadline and the entry is still active.</t>
  </si>
  <si>
    <t xml:space="preserve">Calcualted. Whether the Last Date was within X weeks of the Monday of the week of the date in cell $D$2.</t>
  </si>
  <si>
    <t xml:space="preserve">Calculated. Whether the entry has open tasks, i.e. entries in Tasks that are “. “, “/ “, “~ “ or “! “ but not “x “.</t>
  </si>
  <si>
    <t xml:space="preserve">Calculated. Indicates whether the Jounral entry was completed recently based on Last Date and Active?. NB: an entry like Roadmap, Project, ToDo is deemed Completed if there is no remaining Tasks and the Last Date is thus the completion data for that entry.</t>
  </si>
  <si>
    <t xml:space="preserve">Calculated. Show if Deadline within nr of Weeks set out in $D$2 or if overdue.</t>
  </si>
  <si>
    <t xml:space="preserve">Calculated. Whether the Jounral entry is reportable based on whether the Last Date is newer than the monday X weeks ago, with X determined in Cell $D$2.</t>
  </si>
  <si>
    <t xml:space="preserve">Calculated. Show a entry only if there is:
- En empty entry OR
- An Active entry OR
- Start Date = Today
This avoid having too many entries that are not worked on anymore. </t>
  </si>
  <si>
    <t xml:space="preserve">Calculated. Assures Tracking Type = Management is at the top, then Routines, then Projects that are Roadmap items, then Projects and then the rest of the entries.</t>
  </si>
  <si>
    <t xml:space="preserve">Calculated. The weekday of Column = Start Date.</t>
  </si>
  <si>
    <t xml:space="preserve">Calculated.  6W. When: Start Date. Same value as Column = First Note Date.</t>
  </si>
  <si>
    <t xml:space="preserve">Optional. Can force the reporting of a Journal Entry if the defaulting rules would (not) report an entry.</t>
  </si>
  <si>
    <t xml:space="preserve">Optional. Tag the Journal entry for specific filtering. The value can be freely chosen. It is possible to have multiple comma-separated values. This column is an incredibly powerful feature of the entire sheet.</t>
  </si>
  <si>
    <t xml:space="preserve">Mandatory. 6W = Why: The reason of maintaining the entry:
- Event: event like market event, political election
- HR: a reorg, recruitment, offboarding, etc.
- Meeting: related to a meeting
- Other: anything not part of the other BuJo Types
- Potential: a placeholder as a future Roadmap item.
- Project: a Project (either Roadmap or non-Roadmap)
- Routine: a Routine related entry
- ToDo: a Project for myself  </t>
  </si>
  <si>
    <t xml:space="preserve">Mandatory. 6W = What: part 1 of Name. Name is preferably unique within the Tracking Type and should start with a Verb. Verbs are an indication of targeted Result, see [MGT: 99. Tools ## Objective Definition]:
- Assist: somebody in execution of their Process 
- Attend: prepare and attend a meeting
- Build: something new from scratch 
- Complete: something started elsewhere/prior 
- Create: same as Build  
- Define: a Target/expected Result, next Build/Create 
- Deploy: as new something existing  elsewhere 
- Expand: something existing by adding to it 
- Improve: something existing by automation etc. 
- Increase: something existing by a numeric value 
- Learn: something that may become important later on
- Maintain: something existing at current level 
- Meet: someone on regular or ad-hoc basis 
- Perform: one or more specific Processes 
- Prepare: a deliverable for completion elsewhere 
- Process: take in a request and deliver Result 
- React to: a situation with specific measures 
- Report to: Staff, Manager, Committee via mail 
- Resolve: Problems 
- Review: Result vs Target + assess if change needed 
- Rewrite: an existing document </t>
  </si>
  <si>
    <t xml:space="preserve">Mandatory. 6W = What: Name part 2, Overview. High Level overview of Name. 
Recommended use: slightly shorter descrip
- For Tracking Type in (Management, Routine) all relevant details including references to Paths, URLs
- For Tracking Type in (Roadmap, Project, ToDo) give a short description of the Objective. Details can go into Col = Reference.</t>
  </si>
  <si>
    <t xml:space="preserve">Optional. 6W = When. Allows overriding Col = Start Date which normally is determined by the first entry in Col = Notes. </t>
  </si>
  <si>
    <t xml:space="preserve">Optional. 6W = When. Deadline of the entry.</t>
  </si>
  <si>
    <t xml:space="preserve">Optional. (Expected) effort in Mandays (1 MD = 8 hrs) consumed. Should be entered at start of project, and then finalised when a Project entry (Roadmap, Project, ToDo) has been completed.</t>
  </si>
  <si>
    <t xml:space="preserve">Optional. 6W = Who: Performer. The person performing the entry i.e. delivering a Routine, Project, Roadmap. etc.</t>
  </si>
  <si>
    <t xml:space="preserve">Optional. 6W = Who: Beneficiery. The Activity for which this is performed. The Default = the entire Venture VNT.</t>
  </si>
  <si>
    <t xml:space="preserve">Optonal. Optional 6W = Why. The Goal to which the item belongs. Goals are maintained in Sheet = Static.</t>
  </si>
  <si>
    <t xml:space="preserve">Provided for completeness. For Sheet = M0 this is not really used.</t>
  </si>
  <si>
    <t xml:space="preserve">Optional. 6W = How: Details of the entry and how to achieve it. Can also hold additional details w/r to Name unlike Column = Overview.</t>
  </si>
  <si>
    <t xml:space="preserve">Mandatory. Notes drive two columns: Start Date and Last Date. Format for each line: dd-mm-yy: xxx in which dd, mm and yy are day, month and year and xxx is free text.</t>
  </si>
  <si>
    <t xml:space="preserve">Optional. Tasks with individual Status. Multiple entries are possible. In combination with Column = Updated this column helps in Reporting. 
Items follow the Objective Notation as per [MGT: 99.Tools ## Task Notation] i.e.   
Status Description (start:end:complete) {who} [ref]  </t>
  </si>
  <si>
    <t xml:space="preserve">Calculated. Nr non-completed Tasks. </t>
  </si>
  <si>
    <t xml:space="preserve">Calculated. Nr Tasks non-completed Tasks over total nr Tasks as %.</t>
  </si>
  <si>
    <t xml:space="preserve">Calculated. First Note of Column = Notes.</t>
  </si>
  <si>
    <t xml:space="preserve">Calculated. Last Note -f Column = Notes.</t>
  </si>
  <si>
    <t xml:space="preserve">Calculated. Date of First NoTe from Column = First Note. </t>
  </si>
  <si>
    <t xml:space="preserve">Calculated. Date of Last Note from Column = Last Note. </t>
  </si>
  <si>
    <t xml:space="preserve">Last Column. Contains value = “X”.</t>
  </si>
  <si>
    <t xml:space="preserve">A</t>
  </si>
  <si>
    <t xml:space="preserve">Performer</t>
  </si>
  <si>
    <t xml:space="preserve">Beneficiary</t>
  </si>
  <si>
    <t xml:space="preserve">Last Date</t>
  </si>
  <si>
    <t xml:space="preserve">Duration</t>
  </si>
  <si>
    <t xml:space="preserve">Tasks Open</t>
  </si>
  <si>
    <t xml:space="preserve">Tasks Started</t>
  </si>
  <si>
    <t xml:space="preserve">Tasks Pending</t>
  </si>
  <si>
    <t xml:space="preserve">Tasks Urgent</t>
  </si>
  <si>
    <t xml:space="preserve">Tasks Done</t>
  </si>
  <si>
    <t xml:space="preserve">Tasks Total</t>
  </si>
  <si>
    <t xml:space="preserve">Last Date Year</t>
  </si>
  <si>
    <t xml:space="preserve">Last Date Month</t>
  </si>
  <si>
    <t xml:space="preserve">Last Date Week</t>
  </si>
  <si>
    <t xml:space="preserve">Tracking Type Sort</t>
  </si>
  <si>
    <t xml:space="preserve">Recurs?</t>
  </si>
  <si>
    <t xml:space="preserve">Report Eligible?</t>
  </si>
  <si>
    <t xml:space="preserve">Next wk?</t>
  </si>
  <si>
    <t xml:space="preserve">Overdue?</t>
  </si>
  <si>
    <t xml:space="preserve">Last wk?</t>
  </si>
  <si>
    <t xml:space="preserve">Active ?</t>
  </si>
  <si>
    <t xml:space="preserve">Done  ?</t>
  </si>
  <si>
    <t xml:space="preserve">Alert ?</t>
  </si>
  <si>
    <t xml:space="preserve">Rep ?</t>
  </si>
  <si>
    <t xml:space="preserve">Show ?</t>
  </si>
  <si>
    <t xml:space="preserve">Day</t>
  </si>
  <si>
    <t xml:space="preserve">Calc 
Start 
Date</t>
  </si>
  <si>
    <t xml:space="preserve">Force Rep</t>
  </si>
  <si>
    <t xml:space="preserve">Tag</t>
  </si>
  <si>
    <t xml:space="preserve">Tracking Type</t>
  </si>
  <si>
    <t xml:space="preserve">Name</t>
  </si>
  <si>
    <t xml:space="preserve">Overview</t>
  </si>
  <si>
    <t xml:space="preserve">Start 
Date</t>
  </si>
  <si>
    <t xml:space="preserve">End 
Date</t>
  </si>
  <si>
    <t xml:space="preserve">Effort</t>
  </si>
  <si>
    <t xml:space="preserve">Whom by</t>
  </si>
  <si>
    <t xml:space="preserve">Whom for</t>
  </si>
  <si>
    <t xml:space="preserve">Goal</t>
  </si>
  <si>
    <t xml:space="preserve">Sub-Goal</t>
  </si>
  <si>
    <t xml:space="preserve">Reference</t>
  </si>
  <si>
    <t xml:space="preserve">Notes</t>
  </si>
  <si>
    <t xml:space="preserve">Tasks</t>
  </si>
  <si>
    <t xml:space="preserve">Tasks Left </t>
  </si>
  <si>
    <t xml:space="preserve">Task Progress</t>
  </si>
  <si>
    <t xml:space="preserve">First Note</t>
  </si>
  <si>
    <t xml:space="preserve">Last Note</t>
  </si>
  <si>
    <t xml:space="preserve">First Note Date</t>
  </si>
  <si>
    <t xml:space="preserve">Last Note Date</t>
  </si>
  <si>
    <t xml:space="preserve">Z</t>
  </si>
  <si>
    <t xml:space="preserve">Management</t>
  </si>
  <si>
    <t xml:space="preserve">00. Manage Management</t>
  </si>
  <si>
    <t xml:space="preserve">Define, implement and review a Management Framework</t>
  </si>
  <si>
    <t xml:space="preserve">STE</t>
  </si>
  <si>
    <t xml:space="preserve">mgt</t>
  </si>
  <si>
    <t xml:space="preserve">Details:
# GENERAL
## Effort
## Assets
## Context</t>
  </si>
  <si>
    <t xml:space="preserve">03-01-22: init</t>
  </si>
  <si>
    <t xml:space="preserve">x</t>
  </si>
  <si>
    <t xml:space="preserve">01. Manage Planning</t>
  </si>
  <si>
    <t xml:space="preserve">Define, implement and review a Planning.</t>
  </si>
  <si>
    <t xml:space="preserve">Details:
# GENERAL
## Effort
## Assets
[MGT: 01.Planning]
## Context</t>
  </si>
  <si>
    <t xml:space="preserve">. Maintain Context [MGT: 01.Planning # CONTEXT]
. Maintain Purpose [MGT: 01.Planning # PURPOSE]
. Maintain Vision [MGT: 01.Planning # VISION]
. Maintain Mission [MGT: 01.Planning # MISSION]
. Maintain ByLaws [MGT: 01.Planning # BYLAWS]
. Maintain SWOT [MGT: 01.Planning # SWOT]
. Maintain Goals [MGT: 01.Planning # GOALS]
. Maintain Objectives  [MGT: 01.Planning # OBJECTIVES]
. Maintain Tasks [MGT: 01.Planning # TASKS]
. Maintain Strategic Plan [MGT: 01.Planning # STRATEGIC PLAN]
. Maintain Tactical Plan [MGT: 01.Planning # TACTICAL PLAN]
. Maintain Operational Plan [MGT: 01.Planning # OPERATIONAL PLAN]
. Maintain Intel [MGT: 01.Planning # INTEL]</t>
  </si>
  <si>
    <t xml:space="preserve">02. Manage Organising</t>
  </si>
  <si>
    <t xml:space="preserve">Define, implement and review an Organisation.</t>
  </si>
  <si>
    <t xml:space="preserve">Details:
# GENERAL
## Effort
## Assets
[MGT: 01.Organising]
## Context</t>
  </si>
  <si>
    <t xml:space="preserve">. Maintain Activities [MGT: 02.Organising # ACTIVITIES] 
. Maintain Groups [MGT: 02.Organising # GROUPS] 
. Maintain Roles &amp; Responsibilities [MGT: 02.Organising # ROLES &amp; RESPONSIBILITIES] </t>
  </si>
  <si>
    <t xml:space="preserve">03. Manage Leading</t>
  </si>
  <si>
    <t xml:space="preserve">Define, implement and review a Leadership structure.</t>
  </si>
  <si>
    <t xml:space="preserve">Details:
# GENERAL
## Effort
## Assets
[MGT: 03.Leading]
## Context</t>
  </si>
  <si>
    <t xml:space="preserve">. Maintain Safe Space [MGT: 03.Leading # SAFE SPACE]
. Maintain Direction [MGT: 03.Leading # DIRECTION]
. Maintain Collaboration [MGT: 03.Leading # COLLABORATION]
. Maintain Motivation [MGT: 03.Leading # MOTIVATION]
. Maintain Inspiration [MGT: 03.Leading # INSPIRATION]
. Maintain Learning [MGT: 03.Leading# LEARNING]
. Maintain Leaders [MGT: 03.Leading LEADERS]</t>
  </si>
  <si>
    <t xml:space="preserve">04. Manage Controlling</t>
  </si>
  <si>
    <t xml:space="preserve">Define, implement and review a Control framework.</t>
  </si>
  <si>
    <t xml:space="preserve">Details:
# GENERAL
## Effort
## Assets
[MGT: 04.Controlling]
[Mtrack]
## Context</t>
  </si>
  <si>
    <t xml:space="preserve">. Maintain Journal  [MGT: 04.Controlling # JOURNAL]
. Maintain Supervision [MGT: 04.Controlling # SUPERVISION]
. Maintain Reports [MGT: 04.Controlling # REPORTS]</t>
  </si>
  <si>
    <t xml:space="preserve">10. Manage Operations</t>
  </si>
  <si>
    <t xml:space="preserve">Define, implement and review an Operational Framework.</t>
  </si>
  <si>
    <t xml:space="preserve">11. Manage Staff</t>
  </si>
  <si>
    <t xml:space="preserve">Define, implement and review Staff.</t>
  </si>
  <si>
    <t xml:space="preserve">Details:
# GENERAL
## Effort
## Assets
[MSS: 11.Staff]
[MGT: 11.Staff]
## Context</t>
  </si>
  <si>
    <t xml:space="preserve">. Maintain Staff [MSS: 11.Staff # STAFF]</t>
  </si>
  <si>
    <t xml:space="preserve">12. Manage Assets</t>
  </si>
  <si>
    <t xml:space="preserve">Define, implement and review Assets.</t>
  </si>
  <si>
    <t xml:space="preserve">Details:
# GENERAL
## Effort
## Assets
[MSS: 12.Assets]
[MGT: 12.Assets]
## Context</t>
  </si>
  <si>
    <t xml:space="preserve">. Maintain Assets [MSS: 11.Assets]</t>
  </si>
  <si>
    <t xml:space="preserve">13. Manage Suppliers</t>
  </si>
  <si>
    <t xml:space="preserve">Define, implement and review Suppliers.</t>
  </si>
  <si>
    <t xml:space="preserve">Details:
# GENERAL
## Effort
## Assets
[MSS: 13.Suppliers]
[MGT: 13.Suppliers]
## Context</t>
  </si>
  <si>
    <t xml:space="preserve">. Maintain Suppliers [MSS: 11.Suppliers]</t>
  </si>
  <si>
    <t xml:space="preserve">20. Manage Services</t>
  </si>
  <si>
    <t xml:space="preserve">Define, implement and review Services.</t>
  </si>
  <si>
    <t xml:space="preserve">. Maintain Services [MSS: 20.Services]</t>
  </si>
  <si>
    <t xml:space="preserve">30. Manage Clients</t>
  </si>
  <si>
    <t xml:space="preserve">Define, implement and review Clients.</t>
  </si>
  <si>
    <t xml:space="preserve">. Maintain Clients [MSS: 30.Clients]</t>
  </si>
  <si>
    <t xml:space="preserve">40. Manage Environment</t>
  </si>
  <si>
    <t xml:space="preserve">Define, implement and review Environment.</t>
  </si>
  <si>
    <t xml:space="preserve">. Maintain Environment [MGT: 40.Environment]</t>
  </si>
  <si>
    <t xml:space="preserve">51. Manage Finance</t>
  </si>
  <si>
    <t xml:space="preserve">Define, implement and review Finance.</t>
  </si>
  <si>
    <t xml:space="preserve">. Maintain Accounting [MGT: 51.Finance]
. Maintain Financing [MGT: 51.Finance]</t>
  </si>
  <si>
    <t xml:space="preserve">52. Manage HR</t>
  </si>
  <si>
    <t xml:space="preserve">Define, implement and review HR.</t>
  </si>
  <si>
    <t xml:space="preserve">. Maintain Recruitment [MGT: 52.HR]
. Maintain Skill Management [MGT: 52.HR]
. Maintain Training [MGT: 52.HR]
. Maintain Performance Management [MGT: 52.HR]
. Maintain Remuneration Management [MGT: 52.HR]
. Maintain Employee Relations [MGT: 52.HR]
. Maintain Employment Law[MGT: 52.HR]</t>
  </si>
  <si>
    <t xml:space="preserve">53. Manage IT</t>
  </si>
  <si>
    <t xml:space="preserve">Define, implement and review IT.</t>
  </si>
  <si>
    <t xml:space="preserve">. Maintain Infra [MGT: 53.IT]
. Maintain Applications[MGT: 53.IT]</t>
  </si>
  <si>
    <t xml:space="preserve">54. Manage Risk</t>
  </si>
  <si>
    <t xml:space="preserve">Define, implement and review Risk.</t>
  </si>
  <si>
    <t xml:space="preserve">55. Manage Compliance</t>
  </si>
  <si>
    <t xml:space="preserve">Define, implement and review Compliance.</t>
  </si>
  <si>
    <t xml:space="preserve">56. Manage CorpSec</t>
  </si>
  <si>
    <t xml:space="preserve">Define, implement and review CorpSec.</t>
  </si>
  <si>
    <t xml:space="preserve">. Maintain Legal[MGT: 56.CorpSec]
. Maintain Tax [MGT: 56.CorpSec]
. Maintain Legal Entities [MGT: 56.CorpSec]</t>
  </si>
  <si>
    <t xml:space="preserve">57. Manage Procurement</t>
  </si>
  <si>
    <t xml:space="preserve">Define, implement and review Procurement.</t>
  </si>
  <si>
    <t xml:space="preserve">59. Manage Other</t>
  </si>
  <si>
    <t xml:space="preserve">Define, implement and review other Business Functions.</t>
  </si>
  <si>
    <t xml:space="preserve">99. Manage Tools</t>
  </si>
  <si>
    <t xml:space="preserve">Define, implement and review Tools.</t>
  </si>
  <si>
    <t xml:space="preserve">Attend meeting xxx – D</t>
  </si>
  <si>
    <t xml:space="preserve">Attend daily meeting xxx</t>
  </si>
  <si>
    <t xml:space="preserve">Attend meeting xxx – M</t>
  </si>
  <si>
    <t xml:space="preserve">Attend monthly meeting xxx</t>
  </si>
  <si>
    <t xml:space="preserve">Audit Venture</t>
  </si>
  <si>
    <t xml:space="preserve">Audit the entire entity or Activities within the Venture.</t>
  </si>
  <si>
    <t xml:space="preserve">Check control xxx – D</t>
  </si>
  <si>
    <t xml:space="preserve">Review periodically the Costs of the Venture including KPIs.</t>
  </si>
  <si>
    <t xml:space="preserve">Manage 0. Manamement</t>
  </si>
  <si>
    <t xml:space="preserve">Review periodically all Management aspects of the Venture.</t>
  </si>
  <si>
    <t xml:space="preserve">Details:
# GENERAL
## Effort
## Staff
## Assets
Sheet = M0 i.e. this Sheet.
## Suppliers
## Context</t>
  </si>
  <si>
    <t xml:space="preserve">03-01-22: init
14-04-23: report</t>
  </si>
  <si>
    <t xml:space="preserve">Manage 1. Revenue</t>
  </si>
  <si>
    <t xml:space="preserve">Review periodically the Revenue of the Venture including KPI.</t>
  </si>
  <si>
    <t xml:space="preserve">Details:
# GENERAL
## Effort
## Assets
Sheet = M1.
## Context</t>
  </si>
  <si>
    <t xml:space="preserve">Manage 2. Cost</t>
  </si>
  <si>
    <t xml:space="preserve">Details:
# GENERAL
## Effort
## Assets
Sheet = M2.
## Context</t>
  </si>
  <si>
    <t xml:space="preserve">Manage 3. Risk</t>
  </si>
  <si>
    <t xml:space="preserve">Review periodically the Risk of the Venture including key KRI.</t>
  </si>
  <si>
    <t xml:space="preserve">Details:
# GENERAL
## Effort
## Assets
Sheet = M3.
## Context</t>
  </si>
  <si>
    <t xml:space="preserve">Manage 4. Run</t>
  </si>
  <si>
    <t xml:space="preserve">Review periodically the Production of the Venture including key KPI of Production quality.</t>
  </si>
  <si>
    <t xml:space="preserve">Details:
# GENERAL
## Effort
## Assets
Sheet = M4.
## Context</t>
  </si>
  <si>
    <t xml:space="preserve">Manage 5. Change</t>
  </si>
  <si>
    <t xml:space="preserve">Details:
# GENERAL
## Effort
## Assets
Sheet = M5.
## Context</t>
  </si>
  <si>
    <t xml:space="preserve">Manage 6. Intel</t>
  </si>
  <si>
    <t xml:space="preserve">Review periodically market intelligence.</t>
  </si>
  <si>
    <t xml:space="preserve">Details:
# GENERAL
## Effort
## Assets
Sheet = M6.
## Context</t>
  </si>
  <si>
    <t xml:space="preserve">ToDo</t>
  </si>
  <si>
    <t xml:space="preserve">Build new service </t>
  </si>
  <si>
    <t xml:space="preserve">Build new Service</t>
  </si>
  <si>
    <t xml:space="preserve">group</t>
  </si>
  <si>
    <t xml:space="preserve">act</t>
  </si>
  <si>
    <t xml:space="preserve">Details:
# GENERAL
## Effort
## Staff
## Assets
## Suppliers
## Context</t>
  </si>
  <si>
    <t xml:space="preserve">. Some open task</t>
  </si>
  <si>
    <t xml:space="preserve">Audit</t>
  </si>
  <si>
    <t xml:space="preserve">Do something – W</t>
  </si>
  <si>
    <t xml:space="preserve">Incident</t>
  </si>
  <si>
    <t xml:space="preserve">Some</t>
  </si>
  <si>
    <t xml:space="preserve">The data in this sheet is different from normal Data Sheet Standards. The Purpose of this sheet is to be able to record periodic data sets in the bottom block. This then yields three calculated data sets: the Last Record, The before Last record and the BEfore Before Last Record. THese records are then used to define whatever data set is needed for the Big X topic represented by this sheet (1. Revenue, 2. Cost. 3. Risk, 4. Run, 5. Change and 6. Intel).</t>
  </si>
  <si>
    <t xml:space="preserve">Calculatred. Indicated if the record is the Last, Before Last , Before Before Last or none.</t>
  </si>
  <si>
    <t xml:space="preserve">Date as of which the record is offically measred.</t>
  </si>
  <si>
    <t xml:space="preserve">Date item. To be replaced with an actual data item in production.</t>
  </si>
  <si>
    <t xml:space="preserve">Manually supplied comment. The content of this comment can be based on the data calculated in the first block. The purpose of putting it in the Bottom block is to keep a record of the comments over time.</t>
  </si>
  <si>
    <t xml:space="preserve">L / BL /BBL</t>
  </si>
  <si>
    <t xml:space="preserve">Date</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</si>
  <si>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</si>
  <si>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</si>
  <si>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</si>
  <si>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</si>
  <si>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</si>
  <si>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</si>
  <si>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</si>
  <si>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</si>
  <si>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</si>
  <si>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</si>
  <si>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</si>
  <si>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</si>
  <si>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</si>
  <si>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</si>
  <si>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</si>
  <si>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</si>
  <si>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</si>
  <si>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</si>
  <si>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</si>
  <si>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</si>
  <si>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</si>
  <si>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</si>
  <si>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</si>
  <si>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</si>
  <si>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</si>
  <si>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</si>
  <si>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</si>
  <si>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</si>
  <si>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</si>
  <si>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D30</t>
  </si>
  <si>
    <t xml:space="preserve">D31</t>
  </si>
  <si>
    <t xml:space="preserve">D32</t>
  </si>
  <si>
    <t xml:space="preserve">D33</t>
  </si>
  <si>
    <t xml:space="preserve">D34</t>
  </si>
  <si>
    <t xml:space="preserve">D35</t>
  </si>
  <si>
    <t xml:space="preserve">D36</t>
  </si>
  <si>
    <t xml:space="preserve">D37</t>
  </si>
  <si>
    <t xml:space="preserve">D38</t>
  </si>
  <si>
    <t xml:space="preserve">D39</t>
  </si>
  <si>
    <t xml:space="preserve">D40</t>
  </si>
  <si>
    <t xml:space="preserve">Comment</t>
  </si>
  <si>
    <t xml:space="preserve">L, BL and BBL</t>
  </si>
  <si>
    <t xml:space="preserve">BBL</t>
  </si>
  <si>
    <t xml:space="preserve">BL</t>
  </si>
  <si>
    <t xml:space="preserve">L</t>
  </si>
  <si>
    <t xml:space="preserve">Periodic Data Sets</t>
  </si>
  <si>
    <t xml:space="preserve">data</t>
  </si>
  <si>
    <t xml:space="preserve">dat</t>
  </si>
  <si>
    <t xml:space="preserve">ad</t>
  </si>
  <si>
    <t xml:space="preserve">zzz</t>
  </si>
  <si>
    <t xml:space="preserve">sdsd</t>
  </si>
  <si>
    <t xml:space="preserve">sdf</t>
  </si>
  <si>
    <t xml:space="preserve">This space can hbe used to produce stats on below data</t>
  </si>
  <si>
    <t xml:space="preserve">Depending on the venture it can also contain stats on data maintained elsewhere</t>
  </si>
  <si>
    <t xml:space="preserve">This space can be used to produce stats on below data</t>
  </si>
  <si>
    <t xml:space="preserve">Insert as many rows as necessary</t>
  </si>
  <si>
    <t xml:space="preserve">Optional. Tag the entry for specific filtering. The value can be freely chosen. It is possible to have multiple comma-separated values. This column is an incredibly powerful feature of the entire sheet.</t>
  </si>
  <si>
    <t xml:space="preserve">Mandatory. In theory several options possible, but choose only “Routine”.</t>
  </si>
  <si>
    <t xml:space="preserve">Mandatory. The frequency type of the Routine, based on a drop-down list maintained in Sheet=Static.</t>
  </si>
  <si>
    <t xml:space="preserve">Mandatory. The number of times the Routine is done throughout a year. This is partially linked to Period (label):
Day -&gt; 260 (without holidays), 220 (with holidays)
Week -&gt; 52 (without holidays), 48 (with full week holidays)
Month -&gt; 12
Quarterly -&gt; 4
Semi-annually -&gt; 2
Annually -&gt; 1
Ad-hoc -&gt; this is determined by the user depending on expetations based on past or current information</t>
  </si>
  <si>
    <t xml:space="preserve">Mandatory. THe amount of hours worked on each time the Routine is performed. </t>
  </si>
  <si>
    <t xml:space="preserve">Calculated. Total nr of 8-hour days the ROutine takes. </t>
  </si>
  <si>
    <t xml:space="preserve">Mandatory. The Performer of the Rotuine. The person performing the entry i.e. delivering a Routine, Project, Roadmap. etc.</t>
  </si>
  <si>
    <t xml:space="preserve">Mandatory. The Beneficiery. The Activity for which this is performed. The Default = the entire Venture VNT.</t>
  </si>
  <si>
    <t xml:space="preserve">Mandatory. 6W = Why. The Goal to which the item belongs. Goals are maintained in Sheet = Static.</t>
  </si>
  <si>
    <t xml:space="preserve">Optional: This column has a drop-down which is based on the value in the column to the left i.e. Sub-Goal depends on Goal. </t>
  </si>
  <si>
    <t xml:space="preserve">Optional. 6W = How: Details of how the Routine is achieved.</t>
  </si>
  <si>
    <t xml:space="preserve">Optional. Tasks with individual Status. Multiple entries are possible. In combination with Column = Updated this column helps in Reporting. 
Items follow the Objective Notation as per [MGT: 99.Tools ## Objective Notation] i.e.   
Status Description (start:end:complete) {who} [ref]  
NB: Goal end Effort are not relevant for this Column. 
Used in Formulas.</t>
  </si>
  <si>
    <t xml:space="preserve">Force Rep?</t>
  </si>
  <si>
    <t xml:space="preserve">Planning Type</t>
  </si>
  <si>
    <t xml:space="preserve">Period (label)</t>
  </si>
  <si>
    <t xml:space="preserve">Period (count)</t>
  </si>
  <si>
    <t xml:space="preserve">Effort / count (hr)</t>
  </si>
  <si>
    <t xml:space="preserve">Effort / yr (days)</t>
  </si>
  <si>
    <t xml:space="preserve">Routine</t>
  </si>
  <si>
    <t xml:space="preserve">Do mandatory training</t>
  </si>
  <si>
    <t xml:space="preserve">Trainig made mandatory by the company.</t>
  </si>
  <si>
    <t xml:space="preserve">Ad-hoc</t>
  </si>
  <si>
    <t xml:space="preserve">leading</t>
  </si>
  <si>
    <t xml:space="preserve">Attend meetings</t>
  </si>
  <si>
    <t xml:space="preserve">There are various meetings that need to be attended not related to the other entries.</t>
  </si>
  <si>
    <t xml:space="preserve">Weekly</t>
  </si>
  <si>
    <t xml:space="preserve">. Open task
/ Started task
x Closed task
~ Pending Task
! Urgent task</t>
  </si>
  <si>
    <t xml:space="preserve">Read emails</t>
  </si>
  <si>
    <t xml:space="preserve">This concerns emails not related to any of the other routines</t>
  </si>
  <si>
    <t xml:space="preserve">Daily</t>
  </si>
  <si>
    <t xml:space="preserve">Sort emails</t>
  </si>
  <si>
    <t xml:space="preserve">This concerns days when utterly bored</t>
  </si>
  <si>
    <t xml:space="preserve">Details:  
# GENERAL 
## Effort ## </t>
  </si>
  <si>
    <t xml:space="preserve">prd</t>
  </si>
  <si>
    <t xml:space="preserve">research &amp; development</t>
  </si>
  <si>
    <t xml:space="preserve">Formula. Planning Type. Same value as the Column = Planning Type. This can be used as an extra filtering column in Pivot Tables in case Planning Type is already used as a display column.</t>
  </si>
  <si>
    <t xml:space="preserve">Formula. Level of the Planning Type</t>
  </si>
  <si>
    <t xml:space="preserve">Formula. Priority of the Goal (Run before Change)</t>
  </si>
  <si>
    <t xml:space="preserve">Formula. Key for the item.</t>
  </si>
  <si>
    <t xml:space="preserve">Formula. Priotity for the item</t>
  </si>
  <si>
    <t xml:space="preserve">Formula. Key of the Parent</t>
  </si>
  <si>
    <t xml:space="preserve">Formula. Priority of the Parent of the item</t>
  </si>
  <si>
    <t xml:space="preserve">Formula. Key of the Grand Parent of the item</t>
  </si>
  <si>
    <t xml:space="preserve">Formula. Priority of the Grand Parent of the item</t>
  </si>
  <si>
    <t xml:space="preserve">Formula. Key of the Great Grand parent of the item</t>
  </si>
  <si>
    <t xml:space="preserve">Formula. Simplified Status used for more binary reporting: an item is either completed, or else it is ongoing.</t>
  </si>
  <si>
    <t xml:space="preserve">Formula. Cell A1 = a formula. Column B  is calculated. </t>
  </si>
  <si>
    <t xml:space="preserve">Formula. The sum of Target Effort for all Drills/Actions within a Sub/Stream as well as the Sub/Stream itself.</t>
  </si>
  <si>
    <t xml:space="preserve">Formula. The sum of Target Effort for all Subs/Streams within a Routine/Project as well as the Routine/Project itself.</t>
  </si>
  <si>
    <t xml:space="preserve">Formula. The sum of Target Effort for all Goals within the Venture as well as the Venture itself.</t>
  </si>
  <si>
    <t xml:space="preserve">Formula. The sum of Actual Effort for all Drills/Actions within a Sub/Stream as well as the Sub/Stream itself.</t>
  </si>
  <si>
    <t xml:space="preserve">Formula. The sum of Actual Effort for all Subs/Streams within a Routine/Project as well as the Routine/Project itself.</t>
  </si>
  <si>
    <t xml:space="preserve">Formula. The sum of Actual Effort for all Goals within the Venture as well as the Venture itself.</t>
  </si>
  <si>
    <t xml:space="preserve">Unique Key that can be used in conjunction with Sheet = Delegation.</t>
  </si>
  <si>
    <t xml:space="preserve">Formula. To sort the planning based on the Planning Type and priority based on date or periodicity. Sorting is first Venture, then Run Goals (alphabetically) then Change Goals (alphabettically). Within Run Goals Soring is done based on the Periodicity (daily before weekly, before monthly etc), same for Subs and Drills. Within Change Goals soring is done based on Start date. Same for Streams and then Drills.</t>
  </si>
  <si>
    <t xml:space="preserve">Calculated. This shows “Yes” for all items that have an entry in Column = Notes not older than the Monday of the current week. This helps in weekly reporting.</t>
  </si>
  <si>
    <t xml:space="preserve">Optional: can be used to manually force the display of reportable items.</t>
  </si>
  <si>
    <t xml:space="preserve">Mandatory. The Planning type drives most of the functionality used in the formulae on this sheet. It is possible to create hiearchies as follows:
- VNT - Run Goal - Routine - Sub – Drill
- VNT - Change Goal - Project - Stream – Action
- VNT - Routine - Sub – Drill
- VNT - Project - Stream – Action</t>
  </si>
  <si>
    <t xml:space="preserve">Mandatory. Provide a Short description.
For Subs/Streams indent with 4x space and for Drills/Actions indent with 8x space. 
Make sure it starts with a Verb which are an indication of targeted Result, see [## SMART]:
- Assist: somebody in execution of their Process
- Build: something new from scratch
- Complete: something started elsewhere/prior
- Create: same as Build 
- Define: Target/expected Result, next Build/Create 
- Deploy: as new something existing  elsewhere
- Expand: something existing by adding to it
- Improve: something existing by automation etc.
- Increase: something existing by a numeric value
- Learn: how something operates
- Maintain: something existing at current level
- Meet: someone on regular or ad-hoc basis
- Perform: one or more specific Processes
- Prepare: a deliverable for completion elsewhere
- Process: take in a request and deliver Result
- React to: a situation with specific measures
- Resolve: Problems
- Review: Result vs Target + assess if change needed
- Rewrite: an existing document
Used in Formulas.</t>
  </si>
  <si>
    <t xml:space="preserve">More detailed information w/r to the Description. Mulitple Entries possible (use Ctrl+Enter in LibreOffice, Alt+Enter in Excel).</t>
  </si>
  <si>
    <t xml:space="preserve">If Venture or Goal, the start of the reporting period (mostly start of Year). If Project the Targeted start date (replace with actual start date). If Routine the first time the Routine was performed. This helps in tracking increase in workload. Used in Formulas.</t>
  </si>
  <si>
    <t xml:space="preserve">If Venture or Goal the end of the reporting period (mostly the end of the year). If Project targeted end date – do not replace with actual end date unless project officialy revised. If Routine the last time the Routine was performed i.e. decommissioned. This helps in tracking decrease in workload. Used in Formulas.</t>
  </si>
  <si>
    <t xml:space="preserve">If Venture, Goal or Routine (and below) leave empty. If Project the date the Project is put on Hold – status = Pending, else leave empty. Used in Formulas.</t>
  </si>
  <si>
    <t xml:space="preserve">If Venture, Goal or Routine (and below) leave empty. If Project Actual Completion data of project, else empty. Used in Formulas.</t>
  </si>
  <si>
    <t xml:space="preserve">Optional. IMandays per year. Used in Formulas.</t>
  </si>
  <si>
    <t xml:space="preserve">Optional. Actual mandays per year. Used in Formulas.</t>
  </si>
  <si>
    <t xml:space="preserve">Mandatory. The Alias of Staff (see Sheet = Staff) or Group (see Sheet = Organising) accountable for the item. Only one Entry possible.</t>
  </si>
  <si>
    <t xml:space="preserve">Mandatory. If the item is a Routine/Project (or below) the Activity in which the item is performed. If the item is Venture/Goal it is “STE”.</t>
  </si>
  <si>
    <t xml:space="preserve">If Planning Type = Venture then VNT. If Planning Type = Run Goal/Chg Goal then Key of Venture. If Planning Type = Routine then Key of Run Goal it belongs to(mgt, ovh, ovs,...). If Planning Type =  Project then Key of Change Goal it belongs to(gro, opt, pro, std,...). If Planning Type = Sub then Key of Routine it belongs to. If Planning Type = Drill then Key of Sub it belongs to. If Planning Type = Stream then Key of Project it belongs to. If Planning Type = Action then Key of Sub it belongs to. 
NB: Copy the Key from the Parent Item of the item being updated, i.e. as per above, and Paste Value in the cell in this column.  
In other words the following type of Hierachies exist, where each item is linked to a Parent Item by Column = Link which has the value of Column = Key of the Parent: 
Venture
    Run Goal
        Routine
            Sub
                Drill
    Chg Goal
         Project
             Stream
                 Action
Used in Formulas.</t>
  </si>
  <si>
    <t xml:space="preserve">The Goal Associated to the Project. For Streams and Actions it should be the same as the project.</t>
  </si>
  <si>
    <t xml:space="preserve">Optional: This column has a drop-down which is based on the value in the column to the left i.e. Sub-Goal depends on Goal. Sub-Goals for Streams and Actions should be the same as the Project they belong to.</t>
  </si>
  <si>
    <t xml:space="preserve">Optional. The expected impact of the Projects (or below) on Revenue expressed in Financial Reporting currency. One entry only.</t>
  </si>
  <si>
    <t xml:space="preserve">Optional. The expected impact of the Projects on Running Cost expressed in Financial Reporting currency. One entry only.</t>
  </si>
  <si>
    <t xml:space="preserve">Optional. The expected impact of the Projects (or below) on Risk expressed in Financial Reporting currency. One entry only.</t>
  </si>
  <si>
    <t xml:space="preserve">The expected Cost of the Project.</t>
  </si>
  <si>
    <t xml:space="preserve">The Actual Cost of the Project</t>
  </si>
  <si>
    <t xml:space="preserve">Optional. Reference to more information. Can include multiple entries and refer to: Files, URL, etc. Absence of a Reference means there is no other location where information is maintained. For Goals there is always a Directory created for the Goal in question. All other items (Projects, Routines, etc.) need to be explicitly populated.</t>
  </si>
  <si>
    <t xml:space="preserve">Optional. Provide further notes, updates etc.w/r to the item. Mulitple entries are possible. Items should start with “dd-mm-yy: “ (note the space behind ‘:’). Used in Formulas.</t>
  </si>
  <si>
    <t xml:space="preserve">Formula. The Total Target Effort of the Item as well as any children and grandchildren etc. of that item.</t>
  </si>
  <si>
    <t xml:space="preserve">Formula. The total Actual Effort of the Item as well as any children and grandchildren etc. of that item.</t>
  </si>
  <si>
    <t xml:space="preserve">Calculated. Progress expressed as a % of Total Effort assuming Effort is a proxy for Completion.</t>
  </si>
  <si>
    <t xml:space="preserve">Formula for first date of the Venture based on earliest entry in Column = Start Date.</t>
  </si>
  <si>
    <t xml:space="preserve">Formula for next date based on previous date + value in Cell xxx1 at the end of all dates.</t>
  </si>
  <si>
    <t xml:space="preserve">Formula to Calculate the first Note in Column = Notes</t>
  </si>
  <si>
    <t xml:space="preserve">Formula to calculate last Note in  Column = Notes</t>
  </si>
  <si>
    <t xml:space="preserve">Formula to calculate last Task in  Column = Tasks.</t>
  </si>
  <si>
    <t xml:space="preserve">Formula to calculate Day of the First Note from Column = First Note.</t>
  </si>
  <si>
    <t xml:space="preserve">Formula to calculated Day of the Last Note from Column = Last Note.</t>
  </si>
  <si>
    <t xml:space="preserve">Formula to calculate the date of entry of item in this sheet based on First Note Date.</t>
  </si>
  <si>
    <t xml:space="preserve">Formula to calculate the effective Update Date based on Last Note Date.</t>
  </si>
  <si>
    <t xml:space="preserve">Formula for Nr of days lapsed since Created Date.</t>
  </si>
  <si>
    <t xml:space="preserve">Formula to calculate Nr days lapsed since Updated Date.</t>
  </si>
  <si>
    <t xml:space="preserve">Formula to calculate nr Weeks since last updated Date.</t>
  </si>
  <si>
    <t xml:space="preserve">Formula to calculate the Nr Days Overdue (only for projects) based on End Date.</t>
  </si>
  <si>
    <t xml:space="preserve">Formula to calculate the nr Days before Project goes Overdue. If negative it is already Overdue.</t>
  </si>
  <si>
    <t xml:space="preserve">Formula. Calculates Run / Change</t>
  </si>
  <si>
    <t xml:space="preserve">Formula. Indicates the color to use in the Dynamic Calendar based on the Level</t>
  </si>
  <si>
    <t xml:space="preserve">Formula. Date to be be used in the Dynamic Gantt Chart</t>
  </si>
  <si>
    <r>
      <rPr>
        <sz val="7"/>
        <color rgb="FFFFFFFF"/>
        <rFont val="Arial"/>
        <family val="2"/>
        <charset val="1"/>
      </rPr>
      <t xml:space="preserve">End of dataset. Insert Columns </t>
    </r>
    <r>
      <rPr>
        <b val="true"/>
        <sz val="7"/>
        <color rgb="FFFFFFFF"/>
        <rFont val="Arial"/>
        <family val="2"/>
        <charset val="1"/>
      </rPr>
      <t xml:space="preserve">before</t>
    </r>
    <r>
      <rPr>
        <sz val="7"/>
        <color rgb="FFFFFFFF"/>
        <rFont val="Arial"/>
        <family val="2"/>
        <charset val="1"/>
      </rPr>
      <t xml:space="preserve"> this column.</t>
    </r>
  </si>
  <si>
    <t xml:space="preserve">Q</t>
  </si>
  <si>
    <t xml:space="preserve">Goal Pty</t>
  </si>
  <si>
    <t xml:space="preserve">Self Pty</t>
  </si>
  <si>
    <t xml:space="preserve">Self+1</t>
  </si>
  <si>
    <t xml:space="preserve">Self+2</t>
  </si>
  <si>
    <t xml:space="preserve">Self+2 Pty</t>
  </si>
  <si>
    <t xml:space="preserve">Self+3</t>
  </si>
  <si>
    <t xml:space="preserve">Report Status</t>
  </si>
  <si>
    <t xml:space="preserve">Status</t>
  </si>
  <si>
    <t xml:space="preserve">Target Drill / Action Effort</t>
  </si>
  <si>
    <t xml:space="preserve">Target Sub / Stream Effort</t>
  </si>
  <si>
    <t xml:space="preserve">Target Routine / Project Effort</t>
  </si>
  <si>
    <t xml:space="preserve">Target Venture Effort</t>
  </si>
  <si>
    <t xml:space="preserve">Actual Drill / Action Effort</t>
  </si>
  <si>
    <t xml:space="preserve">Actual Sub / Stream Effort</t>
  </si>
  <si>
    <t xml:space="preserve">Actual Routine / Project Effort</t>
  </si>
  <si>
    <t xml:space="preserve">Actual Venture Effort</t>
  </si>
  <si>
    <t xml:space="preserve">Active?</t>
  </si>
  <si>
    <t xml:space="preserve">Start Date</t>
  </si>
  <si>
    <t xml:space="preserve">End Date</t>
  </si>
  <si>
    <t xml:space="preserve">Complete Date</t>
  </si>
  <si>
    <t xml:space="preserve">Target Effort</t>
  </si>
  <si>
    <t xml:space="preserve">Actual Effort</t>
  </si>
  <si>
    <t xml:space="preserve">Whom By</t>
  </si>
  <si>
    <t xml:space="preserve">Whom For</t>
  </si>
  <si>
    <t xml:space="preserve">Link</t>
  </si>
  <si>
    <t xml:space="preserve">Target Revenue Increase</t>
  </si>
  <si>
    <t xml:space="preserve">Target Cost Savings</t>
  </si>
  <si>
    <t xml:space="preserve">Target Risk Avoidance</t>
  </si>
  <si>
    <t xml:space="preserve">Target Project Cost</t>
  </si>
  <si>
    <t xml:space="preserve">Actual Project Cost</t>
  </si>
  <si>
    <t xml:space="preserve">Total Target Effort</t>
  </si>
  <si>
    <t xml:space="preserve">Total Actual Effort</t>
  </si>
  <si>
    <t xml:space="preserve">Effort %</t>
  </si>
  <si>
    <t xml:space="preserve">Last Task</t>
  </si>
  <si>
    <t xml:space="preserve">Created Date</t>
  </si>
  <si>
    <t xml:space="preserve">Updated Date</t>
  </si>
  <si>
    <t xml:space="preserve">Days since Creation</t>
  </si>
  <si>
    <t xml:space="preserve">Days since Update Date</t>
  </si>
  <si>
    <t xml:space="preserve">WK since Updated</t>
  </si>
  <si>
    <t xml:space="preserve">Days Overdue</t>
  </si>
  <si>
    <t xml:space="preserve">Days to End Date</t>
  </si>
  <si>
    <t xml:space="preserve">Run / Chg</t>
  </si>
  <si>
    <t xml:space="preserve">Color</t>
  </si>
  <si>
    <t xml:space="preserve">Dynamic Gannt Chart Start</t>
  </si>
  <si>
    <t xml:space="preserve">Dynamic Cantt Chart End</t>
  </si>
  <si>
    <t xml:space="preserve">Venture</t>
  </si>
  <si>
    <t xml:space="preserve">Represents the entire Venture.  An overview is presented in below Sub  =1.01 Maintain Context.</t>
  </si>
  <si>
    <t xml:space="preserve">SE</t>
  </si>
  <si>
    <t xml:space="preserve">01-01-22: init</t>
  </si>
  <si>
    <t xml:space="preserve">. ss
/ ss
x ll
~ hh
! uu
. Task</t>
  </si>
  <si>
    <t xml:space="preserve">Project</t>
  </si>
  <si>
    <t xml:space="preserve">Some Study Project for sub-cat 1</t>
  </si>
  <si>
    <t xml:space="preserve">Some Project Overview</t>
  </si>
  <si>
    <t xml:space="preserve">gro</t>
  </si>
  <si>
    <t xml:space="preserve">gro 2</t>
  </si>
  <si>
    <t xml:space="preserve">Stream</t>
  </si>
  <si>
    <t xml:space="preserve">    Some Stream of the project</t>
  </si>
  <si>
    <t xml:space="preserve">Some Stream Overview</t>
  </si>
  <si>
    <t xml:space="preserve">sec</t>
  </si>
  <si>
    <t xml:space="preserve">sec 1</t>
  </si>
  <si>
    <t xml:space="preserve">Action</t>
  </si>
  <si>
    <t xml:space="preserve">        Some Action for the Study</t>
  </si>
  <si>
    <t xml:space="preserve">Some Action Overview</t>
  </si>
  <si>
    <t xml:space="preserve">Some Study Project for sub-cat 2</t>
  </si>
  <si>
    <t xml:space="preserve">r&amp;d</t>
  </si>
  <si>
    <t xml:space="preserve">Calculated. The sort relevance of the Journal Entry based on the Goal and Sheet = Static.</t>
  </si>
  <si>
    <t xml:space="preserve">Goal Sort</t>
  </si>
  <si>
    <t xml:space="preserve">Event</t>
  </si>
  <si>
    <t xml:space="preserve">First column. Leave empty.</t>
  </si>
  <si>
    <t xml:space="preserve">Calculated. Based on the content of Link.</t>
  </si>
  <si>
    <t xml:space="preserve">Optional. Only to be used to link Actions to Streams and Streams to Projects as follows:
- If item = Project the value of COlumn = Name for the Project
- If item = Stream the value of Column = Name for the Project + a number (or alhabetical character
- If item = Action the value of Column = Name for the Stream + a number (or alhpabetical character)
For Routines, to force a specific order, the same logic can be applied.
</t>
  </si>
  <si>
    <t xml:space="preserve">Mandatory. The grouping of Activities, one level above Column = Activity.</t>
  </si>
  <si>
    <t xml:space="preserve">Mandatory. The Activity the item belongs to. Can be a regrouping of Activities. Should map to the Activities in MSS: 02.Organising.</t>
  </si>
  <si>
    <t xml:space="preserve">Mandatory. Goal associated to the item. Possible values:
- mgt
- ovh
- ovs
- prd
- gro
- opt
- pro
- sec</t>
  </si>
  <si>
    <t xml:space="preserve">Mandatory. The Type of Planning. Possible values:
- Routine
- Project
- Stream
- Action</t>
  </si>
  <si>
    <t xml:space="preserve">Mandatory. Provide a Short description. 
For Subs/Streams indent with 4x space and for Drills/Actions indent with 8x space.  
Make sure it starts with a Verb which are an indication of targeted Result, see [## SMART]: 
- Assist: somebody in execution of their Process
- Build: something new from scratch
- Complete: something started elsewhere/prior 
- Create: same as Build  
- Define: Target/expected Result, next Build/Create  
- Deploy: as new something existing  elsewhere 
- Expand: something existing by adding to it 
- Improve: something existing by automation etc. 
- Increase: something existing by a numeric value 
- Learn: how something operates 
- Maintain: something existing at current level 
- Meet: someone on regular or ad-hoc basis 
- Perform: one or more specific Processes 
- Prepare: a deliverable for completion elsewhere 
- Process: take in a request and deliver Result 
- React to: a situation with specific measures 
- Resolve: Problems 
- Review: Result vs Target + assess if change needed 
- Rewrite: an existing document   </t>
  </si>
  <si>
    <t xml:space="preserve">Optional. Reference to more information. Can refer to URLs, files, etc. Multiple entries are possible.</t>
  </si>
  <si>
    <t xml:space="preserve">Mandatory. Whether the Item is </t>
  </si>
  <si>
    <t xml:space="preserve">Optional. Date of a hard deadline if it exists.</t>
  </si>
  <si>
    <t xml:space="preserve">Mandatory. Number of days worked on the item. A day has 8 hours. A year has 220 working days.</t>
  </si>
  <si>
    <t xml:space="preserve">Calculated. Total of all Work done for each of the staff. </t>
  </si>
  <si>
    <t xml:space="preserve">Mandatory. Manually color coded cell to reflect a Plan. The Cell is entirely colored if the start data is in the month. Same for the end date and any date in between.
Color coding as follows:
- Routine: Dark Blue
- Sub: Blue
- Drill: Light Grey
- Project: Dark blue, Dark Green (Completed), Dark Red (Overdue)
- Stream: Blue, Green (Completed), Red (Overdue)
- Action: Light Grey, Light Green (Completed), Rose (Overdue)</t>
  </si>
  <si>
    <t xml:space="preserve">Here one can enter notes. The format is specific for each new line: dd-mm-yy: xxx in which dd, mm and yy are day, month and year and XXX is whatever you want to type.</t>
  </si>
  <si>
    <t xml:space="preserve">Parent Activity</t>
  </si>
  <si>
    <t xml:space="preserve">Activity</t>
  </si>
  <si>
    <t xml:space="preserve">is Glob / Reg / Loc 
?</t>
  </si>
  <si>
    <t xml:space="preserve">Is Road map 
?</t>
  </si>
  <si>
    <t xml:space="preserve">Hard Deadline</t>
  </si>
  <si>
    <t xml:space="preserve">Sander</t>
  </si>
  <si>
    <t xml:space="preserve">&lt;empty&gt;</t>
  </si>
  <si>
    <t xml:space="preserve">TOTAL</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</si>
  <si>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</si>
  <si>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</si>
  <si>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</si>
  <si>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</si>
  <si>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</si>
  <si>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</si>
  <si>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</si>
  <si>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</si>
  <si>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</si>
  <si>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</si>
  <si>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</si>
  <si>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</si>
  <si>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EQD</t>
  </si>
  <si>
    <t xml:space="preserve">Manage Planning</t>
  </si>
  <si>
    <t xml:space="preserve">n/a</t>
  </si>
  <si>
    <t xml:space="preserve">01-11-22: init</t>
  </si>
  <si>
    <t xml:space="preserve">Manage Organising</t>
  </si>
  <si>
    <t xml:space="preserve">Manage Leading</t>
  </si>
  <si>
    <t xml:space="preserve">Manage Controlling</t>
  </si>
  <si>
    <t xml:space="preserve">ovh</t>
  </si>
  <si>
    <t xml:space="preserve">Act as Chief of Staff</t>
  </si>
  <si>
    <t xml:space="preserve">Complete mandatory trainings</t>
  </si>
  <si>
    <t xml:space="preserve">Read non-prd/ovs mail</t>
  </si>
  <si>
    <t xml:space="preserve">ovs</t>
  </si>
  <si>
    <t xml:space="preserve">Assist LOD1/2/3/4</t>
  </si>
  <si>
    <t xml:space="preserve">Review Profit &amp; Loss</t>
  </si>
  <si>
    <t xml:space="preserve">Review Risk</t>
  </si>
  <si>
    <t xml:space="preserve">Perform Controls</t>
  </si>
  <si>
    <t xml:space="preserve">Perform Controls1</t>
  </si>
  <si>
    <t xml:space="preserve">Sub</t>
  </si>
  <si>
    <t xml:space="preserve">Perform Daily Controls</t>
  </si>
  <si>
    <t xml:space="preserve">Perform Controls1a</t>
  </si>
  <si>
    <t xml:space="preserve">Drill</t>
  </si>
  <si>
    <t xml:space="preserve">Perform Daily SOD Check</t>
  </si>
  <si>
    <t xml:space="preserve">Act as Product Owner</t>
  </si>
  <si>
    <t xml:space="preserve">Onboard Staff</t>
  </si>
  <si>
    <t xml:space="preserve">Onboard Assets</t>
  </si>
  <si>
    <t xml:space="preserve">Onboard Suppliers</t>
  </si>
  <si>
    <t xml:space="preserve">Unblock Production</t>
  </si>
  <si>
    <t xml:space="preserve">Increase scope of products</t>
  </si>
  <si>
    <t xml:space="preserve">ALL</t>
  </si>
  <si>
    <t xml:space="preserve">Increase scope of products1</t>
  </si>
  <si>
    <t xml:space="preserve">Increase Daily Services</t>
  </si>
  <si>
    <t xml:space="preserve">Increase scope of products1a</t>
  </si>
  <si>
    <t xml:space="preserve">Increase Daily Market Making</t>
  </si>
  <si>
    <t xml:space="preserve">Formula. Determines whether Staff is still in the Venture.</t>
  </si>
  <si>
    <t xml:space="preserve">Mandatory. Select whether Staff is internal (employee) or from external (consultant, temp staff).  Based on Validity/Validation of data in Sheet = Static.</t>
  </si>
  <si>
    <t xml:space="preserve">Mandatory. Shorter Name of Name if Desired, else Alias = Name. Only one entry is possible.</t>
  </si>
  <si>
    <t xml:space="preserve">Mandatory. Name of the item. Can only be one entry. If Staff Type = Internal Provide the internal organisation staff name.</t>
  </si>
  <si>
    <t xml:space="preserve">Mandatory. Details of the item including where they are located etc. Multiple entries are possible.</t>
  </si>
  <si>
    <t xml:space="preserve">Mandatory. Name (not Alias) of the Staff that the Staff reports into. This allows setting up a hierarchy of Staff if relevant. </t>
  </si>
  <si>
    <t xml:space="preserve">Mandatory. Name of the Category of Staff. This is the same as Corporate Title which is used in Performance Review, see [MGT: Tools ## Performance Review].  Based on Validity/Validation of data in Sheet = Static.</t>
  </si>
  <si>
    <t xml:space="preserve">Optional. Private Phone to be able to contact during urgencies.</t>
  </si>
  <si>
    <t xml:space="preserve">Mandatory. The Group the Staff is part off. Only one entry is possible.</t>
  </si>
  <si>
    <t xml:space="preserve">Optional. Skills the Staff has. Multiple entries are possible.</t>
  </si>
  <si>
    <t xml:space="preserve">Optional. Training record of the Staff. Multiple entries are possible.</t>
  </si>
  <si>
    <t xml:space="preserve">Optional. Details of the Performance Review, see [MGT: Tools ## Performance Review].  Most often contained in a seperate protected file.</t>
  </si>
  <si>
    <t xml:space="preserve">Optional. Details of the remuneration. Most often contained in a seperate protected file.</t>
  </si>
  <si>
    <t xml:space="preserve">Optional. The role the Staff has within the team.</t>
  </si>
  <si>
    <t xml:space="preserve">Optional. Date at which Staff entered the Role which can be later than joining the Venture.</t>
  </si>
  <si>
    <t xml:space="preserve">Optional. The Country two-letter ISO code in which the Staff works.</t>
  </si>
  <si>
    <t xml:space="preserve">Optional. Date Staff joined the Venture.</t>
  </si>
  <si>
    <t xml:space="preserve">Optional. The Date after which the Staff left the Venture (the day itself is thus still included in the Staff’s presence in the Venture).</t>
  </si>
  <si>
    <t xml:space="preserve">Otpional. Unique ID with which the Staff is referenced in HR systems. This helps adding additional fields to the right which then can be populated using INDEX( MATCH()) etc.</t>
  </si>
  <si>
    <t xml:space="preserve">Optional. Cost Centre for the Staff</t>
  </si>
  <si>
    <t xml:space="preserve">Optional. Provide further notes, updates etc.w/r to the item. Mulitple entries are possible. Items should start with “dd-mm-yy: “ (note the space behind ‘:’).</t>
  </si>
  <si>
    <t xml:space="preserve">Staff Type</t>
  </si>
  <si>
    <t xml:space="preserve">Alias</t>
  </si>
  <si>
    <t xml:space="preserve">Parent</t>
  </si>
  <si>
    <t xml:space="preserve">Category</t>
  </si>
  <si>
    <t xml:space="preserve">Private Phone</t>
  </si>
  <si>
    <t xml:space="preserve">Group</t>
  </si>
  <si>
    <t xml:space="preserve">Skills</t>
  </si>
  <si>
    <t xml:space="preserve">Training</t>
  </si>
  <si>
    <t xml:space="preserve">Evaluation</t>
  </si>
  <si>
    <t xml:space="preserve">Remuneration</t>
  </si>
  <si>
    <t xml:space="preserve">Role</t>
  </si>
  <si>
    <t xml:space="preserve">Role Start Date</t>
  </si>
  <si>
    <t xml:space="preserve">Country</t>
  </si>
  <si>
    <t xml:space="preserve">Hire Date</t>
  </si>
  <si>
    <t xml:space="preserve">Leave Date</t>
  </si>
  <si>
    <t xml:space="preserve">ID</t>
  </si>
  <si>
    <t xml:space="preserve">Cost Centre</t>
  </si>
  <si>
    <t xml:space="preserve">Internal</t>
  </si>
  <si>
    <t xml:space="preserve">Sander Elzinga</t>
  </si>
  <si>
    <t xml:space="preserve">Dorothee Freymann</t>
  </si>
  <si>
    <t xml:space="preserve">Director</t>
  </si>
  <si>
    <t xml:space="preserve"> +852 64 62 84 20</t>
  </si>
  <si>
    <t xml:space="preserve">MyActivity</t>
  </si>
  <si>
    <t xml:space="preserve">COO</t>
  </si>
  <si>
    <t xml:space="preserve">Mandatory. Leave empty.</t>
  </si>
  <si>
    <t xml:space="preserve">Mandatory. Select whether Asset is supplied from internal or external Suppler. Based on Validity/Validation of data in Sheet = Static.</t>
  </si>
  <si>
    <t xml:space="preserve">Mandatory. Official name of the item. If Asset Type = Internal Provide the internal Organisation label (HR Path, etc.). Only one entry is possible.</t>
  </si>
  <si>
    <t xml:space="preserve">Optional. Name (not Alias) of the Asset that includes the item. This allows setting up a hierarchy of Assets if relevant. Only one entry is possible.</t>
  </si>
  <si>
    <t xml:space="preserve">Mandatory. Name of the Category of Asset. Only one entry is possible. Based on a Validity/Validation of data in Sheet = Static.</t>
  </si>
  <si>
    <t xml:space="preserve">Mandatory. The names of the Supplier supporting the Asset.  Items should be in Sheet = Suppliers. Mulitple Entries are possible.</t>
  </si>
  <si>
    <t xml:space="preserve">Optional. What is the Asset providing.</t>
  </si>
  <si>
    <t xml:space="preserve">The monetary cost associated to the Asset / year. This can include maintenance fees, license fees etc. Note that due to the complexity of some cost structures, data for the assets mentioned here are maintained elsewhere in a more holistic manner. NB: do not double count the Cost of the Assets provided by the Supplier and the Cost of the Supplier.</t>
  </si>
  <si>
    <t xml:space="preserve">Asset Type</t>
  </si>
  <si>
    <t xml:space="preserve">Supplier</t>
  </si>
  <si>
    <t xml:space="preserve">Output</t>
  </si>
  <si>
    <t xml:space="preserve">Cost</t>
  </si>
  <si>
    <t xml:space="preserve">External</t>
  </si>
  <si>
    <t xml:space="preserve">Excel</t>
  </si>
  <si>
    <t xml:space="preserve">MS Excel </t>
  </si>
  <si>
    <t xml:space="preserve">Microsoft</t>
  </si>
  <si>
    <t xml:space="preserve">Software</t>
  </si>
  <si>
    <t xml:space="preserve">DWS</t>
  </si>
  <si>
    <t xml:space="preserve">Standard MS Excel functionality</t>
  </si>
  <si>
    <t xml:space="preserve">Word</t>
  </si>
  <si>
    <t xml:space="preserve">MS Word</t>
  </si>
  <si>
    <t xml:space="preserve">Standard MS Word functionality</t>
  </si>
  <si>
    <t xml:space="preserve">PowerPoint</t>
  </si>
  <si>
    <t xml:space="preserve">MS Powerpoint</t>
  </si>
  <si>
    <t xml:space="preserve">Standard Powerpoint functionality</t>
  </si>
  <si>
    <t xml:space="preserve">OneNote</t>
  </si>
  <si>
    <t xml:space="preserve">MS OneNote</t>
  </si>
  <si>
    <t xml:space="preserve">Standard OneNote functionality</t>
  </si>
  <si>
    <t xml:space="preserve">Teams</t>
  </si>
  <si>
    <t xml:space="preserve">MS Teams</t>
  </si>
  <si>
    <t xml:space="preserve">Standard MS Teams including calling / conferencing.</t>
  </si>
  <si>
    <t xml:space="preserve">Laptop</t>
  </si>
  <si>
    <t xml:space="preserve">Can be Dell or HP</t>
  </si>
  <si>
    <t xml:space="preserve">Client Hardware</t>
  </si>
  <si>
    <t xml:space="preserve">Laptop hardware including headset, etc</t>
  </si>
  <si>
    <t xml:space="preserve">MS</t>
  </si>
  <si>
    <t xml:space="preserve">Software suite called Microsoft 365</t>
  </si>
  <si>
    <t xml:space="preserve">Mandatory. Select whether Supplier is internal or external to the Venture.  Based on Validity/Validation of data in Sheet = Static.</t>
  </si>
  <si>
    <t xml:space="preserve">Mandatory. Official name of the item. If Supplier Type = Internal Provide the internal Organisation label (HR Path, etc.). Only one entry is possible.</t>
  </si>
  <si>
    <t xml:space="preserve">Optional. Name (not Alias) of the Supplier that includes the item. This allows setting up a hierarchy of Suppliers if relevant. Only one entry is possible.</t>
  </si>
  <si>
    <t xml:space="preserve">Mandatory. Name of the Category of Supplier. Only one entry is possible.  Based on Validity/Validation of data in Sheet = Static.</t>
  </si>
  <si>
    <t xml:space="preserve">Mandatory. The contact persons for the Supplier. Person at top is Head of item. Multiple entries are possible. </t>
  </si>
  <si>
    <t xml:space="preserve">Optional. What is the Supplier providing in terms of Services, Assets, Products. Multiple entries possible. It is also possible to have specific person within the item being mentioned.</t>
  </si>
  <si>
    <t xml:space="preserve">The monetary cost associated to the Supplier / year. This can include maintenance fees, license fees etc. Note that due to the complexity of some cost structures, data for the Supplier mentioned here are maintained elsewhere in a more holistic manner. NB: do not double count the Cost of the Assets provided by the Supplier and the Cost of the Supplier.</t>
  </si>
  <si>
    <t xml:space="preserve">Optional. Unique Internal ID used in referential databases wihtin the Venture (if applicable).</t>
  </si>
  <si>
    <t xml:space="preserve">Supplier Type</t>
  </si>
  <si>
    <t xml:space="preserve">Supplier Category</t>
  </si>
  <si>
    <t xml:space="preserve">Contacts</t>
  </si>
  <si>
    <t xml:space="preserve">Helpdesk Support Group</t>
  </si>
  <si>
    <t xml:space="preserve">RESG/GTS/ASI/DWS</t>
  </si>
  <si>
    <t xml:space="preserve">Patrick CHENG</t>
  </si>
  <si>
    <t xml:space="preserve">Support of all Desktop items: Office Software, Laptops, Telephone, incl redudnancu etc.</t>
  </si>
  <si>
    <t xml:space="preserve">GTS</t>
  </si>
  <si>
    <t xml:space="preserve">Infra-structure implementation and support</t>
  </si>
  <si>
    <t xml:space="preserve">RESG/GTS</t>
  </si>
  <si>
    <t xml:space="preserve">Hardware</t>
  </si>
  <si>
    <t xml:space="preserve">Support of all Infrastructure items: Servers, NAS, San, Data backup, Routers, Switches</t>
  </si>
  <si>
    <t xml:space="preserve">Mandatory. Select whether Service is a Product of Service.  Based on Validity/Validation of data in Sheet = Static.</t>
  </si>
  <si>
    <t xml:space="preserve">Mandatory. Official name of the item. Only one entry is possible.</t>
  </si>
  <si>
    <t xml:space="preserve">Optional. Name (not Alias) of the Service that includes the item. This allows setting up a hierarchy of Services if relevant. Only one entry is possible.</t>
  </si>
  <si>
    <t xml:space="preserve">Mandatory. Name of the Category of Service. Only one entry is possible.  Based on Validity/Validation of data in Sheet = Static.</t>
  </si>
  <si>
    <t xml:space="preserve">Mandatory. The Activity in which the Service is Produced. Only one entry is possible.</t>
  </si>
  <si>
    <t xml:space="preserve">The monetary cost associated to the Service / year. This can include maintenance fees, license fees etc. Note that due to the complexity of some cost structures, data for the Service mentioned here are maintained elsewhere in a more holistic manner. NB: do not double count the Cost of the Assets provided by the Supplier and the Cost of the Supplier.</t>
  </si>
  <si>
    <t xml:space="preserve">Service Type</t>
  </si>
  <si>
    <t xml:space="preserve">Service Category</t>
  </si>
  <si>
    <t xml:space="preserve">Service</t>
  </si>
  <si>
    <t xml:space="preserve">Mandatory. Select whether Client is internal or external to the Venture.  Based on Validity/Validation of data in Sheet = Static.</t>
  </si>
  <si>
    <t xml:space="preserve">Mandatory. Official name of the item. If Client Type = Internal Provide the internal Organisation label (HR Path, etc.). Only one entry is possible.</t>
  </si>
  <si>
    <t xml:space="preserve">Optional. Name (not Alias) of the Client that includes the item. This allows setting up a hierarchy of Clients if relevant. Only one entry is possible.</t>
  </si>
  <si>
    <t xml:space="preserve">Mandatory. Name of the Category of Client. Only one entry is possible.  Based on Validity/Validation of data in Sheet = Static.</t>
  </si>
  <si>
    <t xml:space="preserve">Mandatory. The contact persons within the Venture for the Client item. Person at top is Head of item. Multiple entries are possible. </t>
  </si>
  <si>
    <t xml:space="preserve">Optional. What is the Revenue associated to the Client. These details are often maintained by the Sales department in dedicated databases for large Ventures.</t>
  </si>
  <si>
    <t xml:space="preserve">Client Type</t>
  </si>
  <si>
    <t xml:space="preserve">Client Category</t>
  </si>
  <si>
    <t xml:space="preserve">Revenue</t>
  </si>
  <si>
    <t xml:space="preserve">Mandatory. Select whether Environment is Internal or External.  Based on Validity/Validation of data in Sheet = Static.</t>
  </si>
  <si>
    <t xml:space="preserve">Optional. Name (not Alias) of the Environment that includes the item. This allows setting up a hierarchy of Environmental items if relevant. Only one entry is possible.</t>
  </si>
  <si>
    <t xml:space="preserve">Mandatory. The contact person within the Venture covering the Environment item.</t>
  </si>
  <si>
    <t xml:space="preserve">Optional. What is the Environment putting out. Multiple entries possible. </t>
  </si>
  <si>
    <t xml:space="preserve">Environment Type</t>
  </si>
  <si>
    <t xml:space="preserve">Environment Category</t>
  </si>
  <si>
    <t xml:space="preserve">Other</t>
  </si>
  <si>
    <t xml:space="preserve">Optional. Name (not Alias) of the Finance item that includes the item. This allows setting up a hierarchy of Environmental items if relevant. Only one entry is possible.</t>
  </si>
  <si>
    <t xml:space="preserve">Start of a timeslot e.g. if a row says 05:00 that is a timeslot 0500-05:30.</t>
  </si>
  <si>
    <t xml:space="preserve">Whether the time slots are considered Perso or Work</t>
  </si>
  <si>
    <t xml:space="preserve">The type of action the slot should be reserved for.</t>
  </si>
  <si>
    <t xml:space="preserve">Description of the Action.</t>
  </si>
  <si>
    <t xml:space="preserve">Time</t>
  </si>
  <si>
    <t xml:space="preserve">Perso / Work</t>
  </si>
  <si>
    <t xml:space="preserve">xxx</t>
  </si>
  <si>
    <t xml:space="preserve">Perso</t>
  </si>
  <si>
    <t xml:space="preserve">Sleep</t>
  </si>
  <si>
    <t xml:space="preserve">What it says</t>
  </si>
  <si>
    <t xml:space="preserve">Workout/Sleep</t>
  </si>
  <si>
    <t xml:space="preserve">Workout on Mon, Wed, Thu. Sleep on Tue and Fri.</t>
  </si>
  <si>
    <t xml:space="preserve">Care</t>
  </si>
  <si>
    <t xml:space="preserve">Shower, etc.</t>
  </si>
  <si>
    <t xml:space="preserve">Work</t>
  </si>
  <si>
    <t xml:space="preserve">Commute</t>
  </si>
  <si>
    <t xml:space="preserve">Travel Home / Work, takes half an hour at current residence. Read newspaper during commute.</t>
  </si>
  <si>
    <t xml:space="preserve">Markets</t>
  </si>
  <si>
    <t xml:space="preserve">Check markets (indices, news)</t>
  </si>
  <si>
    <t xml:space="preserve">Mail – Inbox</t>
  </si>
  <si>
    <t xml:space="preserve">Read / priortise / quick-answer / delete mail</t>
  </si>
  <si>
    <t xml:space="preserve">Mail – 01</t>
  </si>
  <si>
    <t xml:space="preserve">Answer mails in 01_DoToday</t>
  </si>
  <si>
    <t xml:space="preserve">Mail – 02 &amp; Mail – 03</t>
  </si>
  <si>
    <t xml:space="preserve">Review mails in 02_DoLater and 03_Delegate</t>
  </si>
  <si>
    <t xml:space="preserve">Review and action MSS items (meeting preparation, etc)</t>
  </si>
  <si>
    <t xml:space="preserve">Recurring Meeting</t>
  </si>
  <si>
    <t xml:space="preserve">Slot for meeting Asia TZ. If 1:1 -&gt; 30 min + reserve next slot for Overhead, if committee/steerco/team meeting etc -&gt; 60 min (this then blocks the next slot too).</t>
  </si>
  <si>
    <t xml:space="preserve">See above</t>
  </si>
  <si>
    <t xml:space="preserve">Meeting</t>
  </si>
  <si>
    <t xml:space="preserve">Slot for meeting. Logic: If 1:1 -&gt; 30 min, and reserve next slot for Overhead, if committee/team etc -&gt; 60 min (this then blocks the next slot too).</t>
  </si>
  <si>
    <t xml:space="preserve">Lunch</t>
  </si>
  <si>
    <t xml:space="preserve">Slot for Lunch. Can be swapped with the Overheads slots below.</t>
  </si>
  <si>
    <t xml:space="preserve">Overhead</t>
  </si>
  <si>
    <t xml:space="preserve">Slot for : Mails, Controls, Reviews of Legal Doc, or Management etc. Can be swapped with Lunch above.</t>
  </si>
  <si>
    <t xml:space="preserve">Slot for anything else: Controls, Reviews of Legal Doc etc. Can be swapped with Lunch above.</t>
  </si>
  <si>
    <t xml:space="preserve">Diner</t>
  </si>
  <si>
    <t xml:space="preserve">Admin</t>
  </si>
  <si>
    <t xml:space="preserve">Entertainment</t>
  </si>
  <si>
    <t xml:space="preserve">First Column</t>
  </si>
  <si>
    <t xml:space="preserve">The Periodicity of Routines  / Subs /Drills in Sheet = Planning. The first item is empty for esthaetic reasons.</t>
  </si>
  <si>
    <t xml:space="preserve">The priority of the Periodicity which can be used in Sorting Data. The use of this column has been decomissioned in Apr 2022.</t>
  </si>
  <si>
    <t xml:space="preserve">The type of Tracking relevant to the Manager. Details of these are maintained in [MGT: 99.Tools].</t>
  </si>
  <si>
    <t xml:space="preserve">Whether BuJO Type is Recurring</t>
  </si>
  <si>
    <t xml:space="preserve">Helpsin Sorting in Sheet = 04.01.BuJoMSS</t>
  </si>
  <si>
    <t xml:space="preserve">First item (Row 5) = the Goal. The items underanth (row 6 and higher) are the Sub-Goals for each Goal. Goal + Sub-Goal is defined as a Range. </t>
  </si>
  <si>
    <t xml:space="preserve">Service Type can be changes in Product Class etc.</t>
  </si>
  <si>
    <t xml:space="preserve">Note that by creating a hierarchy of Services in Sheet = Services one can avoid having to insert Service or Product Class etc.</t>
  </si>
  <si>
    <t xml:space="preserve">Help flagging a Tracking Type as belonging to one of the Supervisory 6.</t>
  </si>
  <si>
    <t xml:space="preserve">Last Column</t>
  </si>
  <si>
    <t xml:space="preserve">Status Value</t>
  </si>
  <si>
    <t xml:space="preserve">Level</t>
  </si>
  <si>
    <t xml:space="preserve">Run / Change</t>
  </si>
  <si>
    <t xml:space="preserve">Periodicity</t>
  </si>
  <si>
    <t xml:space="preserve">Periodicity Priority</t>
  </si>
  <si>
    <t xml:space="preserve">Tracking 
Type</t>
  </si>
  <si>
    <t xml:space="preserve">Tracking Type Recurs</t>
  </si>
  <si>
    <t xml:space="preserve">Tracking Type Sort Prio</t>
  </si>
  <si>
    <t xml:space="preserve">Tracking Type  Reporting Eligibility</t>
  </si>
  <si>
    <t xml:space="preserve">Run Goal + Sub-Goals</t>
  </si>
  <si>
    <t xml:space="preserve">Change Goal + Sub-Goals</t>
  </si>
  <si>
    <t xml:space="preserve">Asset Category</t>
  </si>
  <si>
    <t xml:space="preserve">Staff Category</t>
  </si>
  <si>
    <t xml:space="preserve">Y/N</t>
  </si>
  <si>
    <t xml:space="preserve">Nr</t>
  </si>
  <si>
    <t xml:space="preserve">Month</t>
  </si>
  <si>
    <t xml:space="preserve">Weekday</t>
  </si>
  <si>
    <t xml:space="preserve">Supervisory 6</t>
  </si>
  <si>
    <t xml:space="preserve">Open</t>
  </si>
  <si>
    <t xml:space="preserve">Run</t>
  </si>
  <si>
    <t xml:space="preserve">N</t>
  </si>
  <si>
    <t xml:space="preserve">F</t>
  </si>
  <si>
    <t xml:space="preserve">Y</t>
  </si>
  <si>
    <t xml:space="preserve">pro</t>
  </si>
  <si>
    <t xml:space="preserve">opt</t>
  </si>
  <si>
    <t xml:space="preserve">oth</t>
  </si>
  <si>
    <t xml:space="preserve">prj</t>
  </si>
  <si>
    <t xml:space="preserve">Cash Equity</t>
  </si>
  <si>
    <t xml:space="preserve">Broker</t>
  </si>
  <si>
    <t xml:space="preserve">Geography</t>
  </si>
  <si>
    <t xml:space="preserve">Trainee</t>
  </si>
  <si>
    <t xml:space="preserve">Sun</t>
  </si>
  <si>
    <t xml:space="preserve">0. Management</t>
  </si>
  <si>
    <t xml:space="preserve">Started</t>
  </si>
  <si>
    <t xml:space="preserve">I</t>
  </si>
  <si>
    <t xml:space="preserve">MC</t>
  </si>
  <si>
    <t xml:space="preserve">staff maintenance</t>
  </si>
  <si>
    <t xml:space="preserve">attend</t>
  </si>
  <si>
    <t xml:space="preserve">training</t>
  </si>
  <si>
    <t xml:space="preserve">gro 1</t>
  </si>
  <si>
    <t xml:space="preserve">pro 1</t>
  </si>
  <si>
    <t xml:space="preserve">opt 1</t>
  </si>
  <si>
    <t xml:space="preserve">oth 1</t>
  </si>
  <si>
    <t xml:space="preserve">prj 1</t>
  </si>
  <si>
    <t xml:space="preserve">Product</t>
  </si>
  <si>
    <t xml:space="preserve">Listed Derivatives</t>
  </si>
  <si>
    <t xml:space="preserve">Asset Manager</t>
  </si>
  <si>
    <t xml:space="preserve">Climate</t>
  </si>
  <si>
    <t xml:space="preserve">Server Hardware</t>
  </si>
  <si>
    <t xml:space="preserve">Intern</t>
  </si>
  <si>
    <t xml:space="preserve">Mon</t>
  </si>
  <si>
    <t xml:space="preserve">1. Revenue</t>
  </si>
  <si>
    <t xml:space="preserve">Completed</t>
  </si>
  <si>
    <t xml:space="preserve">HR</t>
  </si>
  <si>
    <t xml:space="preserve">J</t>
  </si>
  <si>
    <t xml:space="preserve">MI</t>
  </si>
  <si>
    <t xml:space="preserve">asset maintenance</t>
  </si>
  <si>
    <t xml:space="preserve">audit</t>
  </si>
  <si>
    <t xml:space="preserve">evaluation</t>
  </si>
  <si>
    <t xml:space="preserve">pro 2</t>
  </si>
  <si>
    <t xml:space="preserve">sec 2</t>
  </si>
  <si>
    <t xml:space="preserve">opt 2</t>
  </si>
  <si>
    <t xml:space="preserve">oth 2</t>
  </si>
  <si>
    <t xml:space="preserve">prj 2</t>
  </si>
  <si>
    <t xml:space="preserve">Total Return Swap</t>
  </si>
  <si>
    <t xml:space="preserve">Hedge Fund</t>
  </si>
  <si>
    <t xml:space="preserve">Nature</t>
  </si>
  <si>
    <t xml:space="preserve">VIE</t>
  </si>
  <si>
    <t xml:space="preserve">Tue</t>
  </si>
  <si>
    <t xml:space="preserve">2. Cost</t>
  </si>
  <si>
    <t xml:space="preserve">Pending</t>
  </si>
  <si>
    <t xml:space="preserve">H</t>
  </si>
  <si>
    <t xml:space="preserve">planning</t>
  </si>
  <si>
    <t xml:space="preserve">supplier maintenance</t>
  </si>
  <si>
    <t xml:space="preserve">check</t>
  </si>
  <si>
    <t xml:space="preserve">admin</t>
  </si>
  <si>
    <t xml:space="preserve">gro 3</t>
  </si>
  <si>
    <t xml:space="preserve">pro 3</t>
  </si>
  <si>
    <t xml:space="preserve">sec 3</t>
  </si>
  <si>
    <t xml:space="preserve">opt 3</t>
  </si>
  <si>
    <t xml:space="preserve">oth 3</t>
  </si>
  <si>
    <t xml:space="preserve">prj 3</t>
  </si>
  <si>
    <t xml:space="preserve">Forward</t>
  </si>
  <si>
    <t xml:space="preserve">Bank</t>
  </si>
  <si>
    <t xml:space="preserve">Infrastucture</t>
  </si>
  <si>
    <t xml:space="preserve">Exchange</t>
  </si>
  <si>
    <t xml:space="preserve">Documentation</t>
  </si>
  <si>
    <t xml:space="preserve">Graduate</t>
  </si>
  <si>
    <t xml:space="preserve">Wed</t>
  </si>
  <si>
    <t xml:space="preserve">3. Risk</t>
  </si>
  <si>
    <t xml:space="preserve">Urgent</t>
  </si>
  <si>
    <t xml:space="preserve">Chg</t>
  </si>
  <si>
    <t xml:space="preserve">Bi-weekly</t>
  </si>
  <si>
    <t xml:space="preserve">organising</t>
  </si>
  <si>
    <t xml:space="preserve">service management</t>
  </si>
  <si>
    <t xml:space="preserve">review</t>
  </si>
  <si>
    <t xml:space="preserve">legacy</t>
  </si>
  <si>
    <t xml:space="preserve">gro 4</t>
  </si>
  <si>
    <t xml:space="preserve">pro 4</t>
  </si>
  <si>
    <t xml:space="preserve">sec 4</t>
  </si>
  <si>
    <t xml:space="preserve">opt 4</t>
  </si>
  <si>
    <t xml:space="preserve">oth 4</t>
  </si>
  <si>
    <t xml:space="preserve">prj 4</t>
  </si>
  <si>
    <t xml:space="preserve">FX</t>
  </si>
  <si>
    <t xml:space="preserve">Society</t>
  </si>
  <si>
    <t xml:space="preserve">Legal</t>
  </si>
  <si>
    <t xml:space="preserve">Automaton</t>
  </si>
  <si>
    <t xml:space="preserve">Analyst</t>
  </si>
  <si>
    <t xml:space="preserve">Thu</t>
  </si>
  <si>
    <t xml:space="preserve">4. Run</t>
  </si>
  <si>
    <t xml:space="preserve">Monthly</t>
  </si>
  <si>
    <t xml:space="preserve">K</t>
  </si>
  <si>
    <t xml:space="preserve">client managment</t>
  </si>
  <si>
    <t xml:space="preserve">oversight support</t>
  </si>
  <si>
    <t xml:space="preserve">one-off</t>
  </si>
  <si>
    <t xml:space="preserve">gro 5</t>
  </si>
  <si>
    <t xml:space="preserve">pro 5</t>
  </si>
  <si>
    <t xml:space="preserve">sec 5</t>
  </si>
  <si>
    <t xml:space="preserve">opt 5</t>
  </si>
  <si>
    <t xml:space="preserve">oth 5</t>
  </si>
  <si>
    <t xml:space="preserve">prj 5</t>
  </si>
  <si>
    <t xml:space="preserve">Politics</t>
  </si>
  <si>
    <t xml:space="preserve">Market Data</t>
  </si>
  <si>
    <t xml:space="preserve">Associate</t>
  </si>
  <si>
    <t xml:space="preserve">Fri</t>
  </si>
  <si>
    <t xml:space="preserve">5. Change</t>
  </si>
  <si>
    <t xml:space="preserve">Bi-monthly</t>
  </si>
  <si>
    <t xml:space="preserve">controlling</t>
  </si>
  <si>
    <t xml:space="preserve">environment management</t>
  </si>
  <si>
    <t xml:space="preserve">info</t>
  </si>
  <si>
    <t xml:space="preserve">gro 6</t>
  </si>
  <si>
    <t xml:space="preserve">pro 6</t>
  </si>
  <si>
    <t xml:space="preserve">sec 6</t>
  </si>
  <si>
    <t xml:space="preserve">opt 6</t>
  </si>
  <si>
    <t xml:space="preserve">oth 6</t>
  </si>
  <si>
    <t xml:space="preserve">prj 6</t>
  </si>
  <si>
    <t xml:space="preserve">Economy</t>
  </si>
  <si>
    <t xml:space="preserve">Operations</t>
  </si>
  <si>
    <t xml:space="preserve">VP</t>
  </si>
  <si>
    <t xml:space="preserve">Sat</t>
  </si>
  <si>
    <t xml:space="preserve">6. Intel</t>
  </si>
  <si>
    <t xml:space="preserve">Quarterly</t>
  </si>
  <si>
    <t xml:space="preserve">Potential</t>
  </si>
  <si>
    <t xml:space="preserve">G</t>
  </si>
  <si>
    <t xml:space="preserve">production reporting</t>
  </si>
  <si>
    <t xml:space="preserve">gro 7</t>
  </si>
  <si>
    <t xml:space="preserve">pro 7</t>
  </si>
  <si>
    <t xml:space="preserve">sec 7</t>
  </si>
  <si>
    <t xml:space="preserve">opt 7</t>
  </si>
  <si>
    <t xml:space="preserve">oth 7</t>
  </si>
  <si>
    <t xml:space="preserve">prj 7</t>
  </si>
  <si>
    <t xml:space="preserve">Regulator</t>
  </si>
  <si>
    <t xml:space="preserve">Project Management</t>
  </si>
  <si>
    <t xml:space="preserve">Semi-annually</t>
  </si>
  <si>
    <t xml:space="preserve">D</t>
  </si>
  <si>
    <t xml:space="preserve">business continuity</t>
  </si>
  <si>
    <t xml:space="preserve">gro 8</t>
  </si>
  <si>
    <t xml:space="preserve">pro 8</t>
  </si>
  <si>
    <t xml:space="preserve">sec 8</t>
  </si>
  <si>
    <t xml:space="preserve">opt 8</t>
  </si>
  <si>
    <t xml:space="preserve">oth 8</t>
  </si>
  <si>
    <t xml:space="preserve">prj 8</t>
  </si>
  <si>
    <t xml:space="preserve">Competitor</t>
  </si>
  <si>
    <t xml:space="preserve">MD</t>
  </si>
  <si>
    <t xml:space="preserve">Annually</t>
  </si>
  <si>
    <t xml:space="preserve">B</t>
  </si>
  <si>
    <t xml:space="preserve">activity xxx</t>
  </si>
  <si>
    <t xml:space="preserve">gro 9</t>
  </si>
  <si>
    <t xml:space="preserve">pro 9</t>
  </si>
  <si>
    <t xml:space="preserve">sec 9</t>
  </si>
  <si>
    <t xml:space="preserve">opt 9</t>
  </si>
  <si>
    <t xml:space="preserve">oth 9</t>
  </si>
  <si>
    <t xml:space="preserve">prj 9</t>
  </si>
  <si>
    <t xml:space="preserve">Investor</t>
  </si>
  <si>
    <t xml:space="preserve">Consultant</t>
  </si>
  <si>
    <t xml:space="preserve">E</t>
  </si>
  <si>
    <t xml:space="preserve">gro 10</t>
  </si>
  <si>
    <t xml:space="preserve">pro 10</t>
  </si>
  <si>
    <t xml:space="preserve">sec 10</t>
  </si>
  <si>
    <t xml:space="preserve">opt 10</t>
  </si>
  <si>
    <t xml:space="preserve">oth 10</t>
  </si>
  <si>
    <t xml:space="preserve">prj 10</t>
  </si>
  <si>
    <t xml:space="preserve">Technology</t>
  </si>
  <si>
    <t xml:space="preserve">continuous improvement</t>
  </si>
  <si>
    <t xml:space="preserve">production support</t>
  </si>
</sst>
</file>

<file path=xl/styles.xml><?xml version="1.0" encoding="utf-8"?>
<styleSheet xmlns="http://schemas.openxmlformats.org/spreadsheetml/2006/main">
  <numFmts count="15">
    <numFmt numFmtId="164" formatCode="General"/>
    <numFmt numFmtId="165" formatCode="dd\-mmm\-yy"/>
    <numFmt numFmtId="166" formatCode="0"/>
    <numFmt numFmtId="167" formatCode="mm/dd/yy"/>
    <numFmt numFmtId="168" formatCode="d\-mmm\-yy"/>
    <numFmt numFmtId="169" formatCode="General"/>
    <numFmt numFmtId="170" formatCode="#,##0.0"/>
    <numFmt numFmtId="171" formatCode="0%"/>
    <numFmt numFmtId="172" formatCode="dd/mm/yy\ hh:mm"/>
    <numFmt numFmtId="173" formatCode="0.00"/>
    <numFmt numFmtId="174" formatCode="#,##0"/>
    <numFmt numFmtId="175" formatCode="dd\-mmm\-yyyy"/>
    <numFmt numFmtId="176" formatCode="#,##0.00"/>
    <numFmt numFmtId="177" formatCode="dd/mm/yy"/>
    <numFmt numFmtId="178" formatCode="hh:mm"/>
  </numFmts>
  <fonts count="32">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0"/>
      <color rgb="FF2A6099"/>
      <name val="Arial"/>
      <family val="2"/>
      <charset val="1"/>
    </font>
    <font>
      <sz val="10"/>
      <color rgb="FF00A933"/>
      <name val="Arial"/>
      <family val="2"/>
      <charset val="1"/>
    </font>
    <font>
      <sz val="10"/>
      <color rgb="FFDDDDDD"/>
      <name val="Arial"/>
      <family val="2"/>
      <charset val="1"/>
    </font>
    <font>
      <sz val="10"/>
      <color rgb="FFB4C7DC"/>
      <name val="Arial"/>
      <family val="2"/>
      <charset val="1"/>
    </font>
    <font>
      <sz val="10"/>
      <color rgb="FFAFD095"/>
      <name val="Arial"/>
      <family val="2"/>
      <charset val="1"/>
    </font>
    <font>
      <sz val="10"/>
      <color rgb="FFFFA6A6"/>
      <name val="Arial"/>
      <family val="2"/>
      <charset val="1"/>
    </font>
    <font>
      <b val="true"/>
      <sz val="10"/>
      <name val="Arial"/>
      <family val="2"/>
      <charset val="1"/>
    </font>
    <font>
      <sz val="10"/>
      <color rgb="FFFFB66C"/>
      <name val="Arial"/>
      <family val="2"/>
      <charset val="1"/>
    </font>
    <font>
      <sz val="10"/>
      <color rgb="FF729FCF"/>
      <name val="Arial"/>
      <family val="2"/>
      <charset val="1"/>
    </font>
    <font>
      <sz val="10"/>
      <color rgb="FFBBE33D"/>
      <name val="Arial"/>
      <family val="2"/>
      <charset val="1"/>
    </font>
    <font>
      <sz val="10"/>
      <color rgb="FFCCCCCC"/>
      <name val="Arial"/>
      <family val="2"/>
      <charset val="1"/>
    </font>
    <font>
      <sz val="10"/>
      <color rgb="FFE0C2CD"/>
      <name val="Arial"/>
      <family val="2"/>
      <charset val="1"/>
    </font>
    <font>
      <sz val="10"/>
      <color rgb="FFFF0000"/>
      <name val="Arial"/>
      <family val="2"/>
      <charset val="1"/>
    </font>
    <font>
      <sz val="10"/>
      <color rgb="FFDEE7E5"/>
      <name val="Arial"/>
      <family val="2"/>
      <charset val="1"/>
    </font>
    <font>
      <sz val="10"/>
      <color rgb="FFFFD7D7"/>
      <name val="Arial"/>
      <family val="2"/>
      <charset val="1"/>
    </font>
    <font>
      <sz val="10"/>
      <color rgb="FFE8F2A1"/>
      <name val="Arial"/>
      <family val="2"/>
      <charset val="1"/>
    </font>
    <font>
      <sz val="10"/>
      <color rgb="FFFFFFFF"/>
      <name val="Arial"/>
      <family val="2"/>
      <charset val="1"/>
    </font>
    <font>
      <sz val="10"/>
      <color rgb="FF808080"/>
      <name val="Arial"/>
      <family val="2"/>
      <charset val="1"/>
    </font>
    <font>
      <sz val="10"/>
      <color rgb="FF999999"/>
      <name val="Arial"/>
      <family val="2"/>
      <charset val="1"/>
    </font>
    <font>
      <sz val="7"/>
      <color rgb="FFFFFFFF"/>
      <name val="Arial"/>
      <family val="2"/>
      <charset val="1"/>
    </font>
    <font>
      <sz val="7"/>
      <name val="Arial"/>
      <family val="2"/>
      <charset val="1"/>
    </font>
    <font>
      <b val="true"/>
      <sz val="7"/>
      <color rgb="FFFFFFFF"/>
      <name val="Arial"/>
      <family val="2"/>
      <charset val="1"/>
    </font>
    <font>
      <sz val="12"/>
      <color rgb="FFFFFFFF"/>
      <name val="Arial"/>
      <family val="2"/>
      <charset val="1"/>
    </font>
    <font>
      <sz val="12"/>
      <name val="Arial"/>
      <family val="2"/>
      <charset val="1"/>
    </font>
    <font>
      <sz val="8"/>
      <color rgb="FFFFFFFF"/>
      <name val="Arial"/>
      <family val="2"/>
      <charset val="1"/>
    </font>
    <font>
      <sz val="10"/>
      <color rgb="FFC9211E"/>
      <name val="Arial"/>
      <family val="2"/>
      <charset val="1"/>
    </font>
    <font>
      <sz val="10"/>
      <color rgb="FFB2B2B2"/>
      <name val="Arial"/>
      <family val="2"/>
      <charset val="1"/>
    </font>
  </fonts>
  <fills count="27">
    <fill>
      <patternFill patternType="none"/>
    </fill>
    <fill>
      <patternFill patternType="gray125"/>
    </fill>
    <fill>
      <patternFill patternType="solid">
        <fgColor rgb="FF000000"/>
        <bgColor rgb="FF003300"/>
      </patternFill>
    </fill>
    <fill>
      <patternFill patternType="solid">
        <fgColor rgb="FF2A6099"/>
        <bgColor rgb="FF008080"/>
      </patternFill>
    </fill>
    <fill>
      <patternFill patternType="solid">
        <fgColor rgb="FF00A933"/>
        <bgColor rgb="FF008000"/>
      </patternFill>
    </fill>
    <fill>
      <patternFill patternType="solid">
        <fgColor rgb="FFDDDDDD"/>
        <bgColor rgb="FFDEE7E5"/>
      </patternFill>
    </fill>
    <fill>
      <patternFill patternType="solid">
        <fgColor rgb="FFB4C7DC"/>
        <bgColor rgb="FFCCCCCC"/>
      </patternFill>
    </fill>
    <fill>
      <patternFill patternType="solid">
        <fgColor rgb="FFAFD095"/>
        <bgColor rgb="FFCCCCCC"/>
      </patternFill>
    </fill>
    <fill>
      <patternFill patternType="solid">
        <fgColor rgb="FFFFA6A6"/>
        <bgColor rgb="FFFFB66C"/>
      </patternFill>
    </fill>
    <fill>
      <patternFill patternType="solid">
        <fgColor rgb="FFFFB66C"/>
        <bgColor rgb="FFFFA6A6"/>
      </patternFill>
    </fill>
    <fill>
      <patternFill patternType="solid">
        <fgColor rgb="FF729FCF"/>
        <bgColor rgb="FF5983B0"/>
      </patternFill>
    </fill>
    <fill>
      <patternFill patternType="solid">
        <fgColor rgb="FFBBE33D"/>
        <bgColor rgb="FFAFD095"/>
      </patternFill>
    </fill>
    <fill>
      <patternFill patternType="solid">
        <fgColor rgb="FFCCCCCC"/>
        <bgColor rgb="FFE0C2CD"/>
      </patternFill>
    </fill>
    <fill>
      <patternFill patternType="solid">
        <fgColor rgb="FFE0C2CD"/>
        <bgColor rgb="FFCCCCCC"/>
      </patternFill>
    </fill>
    <fill>
      <patternFill patternType="solid">
        <fgColor rgb="FFFF0000"/>
        <bgColor rgb="FFC9211E"/>
      </patternFill>
    </fill>
    <fill>
      <patternFill patternType="solid">
        <fgColor rgb="FFDEE7E5"/>
        <bgColor rgb="FFDEE6EF"/>
      </patternFill>
    </fill>
    <fill>
      <patternFill patternType="solid">
        <fgColor rgb="FFFFD7D7"/>
        <bgColor rgb="FFDDDDDD"/>
      </patternFill>
    </fill>
    <fill>
      <patternFill patternType="solid">
        <fgColor rgb="FFE8F2A1"/>
        <bgColor rgb="FFDEE7E5"/>
      </patternFill>
    </fill>
    <fill>
      <patternFill patternType="solid">
        <fgColor rgb="FF999999"/>
        <bgColor rgb="FF808080"/>
      </patternFill>
    </fill>
    <fill>
      <patternFill patternType="solid">
        <fgColor rgb="FF808080"/>
        <bgColor rgb="FF999999"/>
      </patternFill>
    </fill>
    <fill>
      <patternFill patternType="solid">
        <fgColor rgb="FF666666"/>
        <bgColor rgb="FF808080"/>
      </patternFill>
    </fill>
    <fill>
      <patternFill patternType="solid">
        <fgColor rgb="FFFFFFFF"/>
        <bgColor rgb="FFDEE6EF"/>
      </patternFill>
    </fill>
    <fill>
      <patternFill patternType="solid">
        <fgColor rgb="FF81D41A"/>
        <bgColor rgb="FFBBE33D"/>
      </patternFill>
    </fill>
    <fill>
      <patternFill patternType="solid">
        <fgColor rgb="FFA1467E"/>
        <bgColor rgb="FF993366"/>
      </patternFill>
    </fill>
    <fill>
      <patternFill patternType="solid">
        <fgColor rgb="FF333333"/>
        <bgColor rgb="FF333300"/>
      </patternFill>
    </fill>
    <fill>
      <patternFill patternType="solid">
        <fgColor rgb="FF5983B0"/>
        <bgColor rgb="FF808080"/>
      </patternFill>
    </fill>
    <fill>
      <patternFill patternType="solid">
        <fgColor rgb="FFDEE6EF"/>
        <bgColor rgb="FFDEE7E5"/>
      </patternFill>
    </fill>
  </fills>
  <borders count="18">
    <border diagonalUp="false" diagonalDown="false">
      <left/>
      <right/>
      <top/>
      <bottom/>
      <diagonal/>
    </border>
    <border diagonalUp="false" diagonalDown="false">
      <left/>
      <right/>
      <top style="medium">
        <color rgb="FFFFFFFF"/>
      </top>
      <bottom style="medium">
        <color rgb="FFFFFFFF"/>
      </bottom>
      <diagonal/>
    </border>
    <border diagonalUp="false" diagonalDown="false">
      <left/>
      <right/>
      <top style="double">
        <color rgb="FFFFFFFF"/>
      </top>
      <bottom style="double">
        <color rgb="FFFFFFFF"/>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color rgb="FF808080"/>
      </top>
      <bottom style="thin">
        <color rgb="FF808080"/>
      </bottom>
      <diagonal/>
    </border>
  </borders>
  <cellStyleXfs count="6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5" borderId="0" applyFont="true" applyBorder="false" applyAlignment="true" applyProtection="false">
      <alignment horizontal="general"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2" fillId="9" borderId="1" applyFont="true" applyBorder="true" applyAlignment="true" applyProtection="false">
      <alignment horizontal="general" vertical="bottom" textRotation="0" wrapText="false" indent="0" shrinkToFit="false"/>
    </xf>
    <xf numFmtId="164" fontId="13" fillId="10" borderId="1" applyFont="true" applyBorder="true" applyAlignment="true" applyProtection="false">
      <alignment horizontal="general" vertical="bottom" textRotation="0" wrapText="false" indent="0" shrinkToFit="false"/>
    </xf>
    <xf numFmtId="164" fontId="5" fillId="3" borderId="2" applyFont="true" applyBorder="true" applyAlignment="true" applyProtection="false">
      <alignment horizontal="general" vertical="bottom" textRotation="0" wrapText="false" indent="0" shrinkToFit="false"/>
    </xf>
    <xf numFmtId="164" fontId="14" fillId="11" borderId="2" applyFont="true" applyBorder="true" applyAlignment="true" applyProtection="false">
      <alignment horizontal="general" vertical="bottom" textRotation="0" wrapText="false" indent="0" shrinkToFit="false"/>
    </xf>
    <xf numFmtId="164" fontId="15" fillId="12" borderId="2" applyFont="true" applyBorder="true" applyAlignment="true" applyProtection="false">
      <alignment horizontal="general" vertical="bottom" textRotation="0" wrapText="false" indent="0" shrinkToFit="false"/>
    </xf>
    <xf numFmtId="164" fontId="8" fillId="6" borderId="2" applyFont="true" applyBorder="true" applyAlignment="true" applyProtection="false">
      <alignment horizontal="general" vertical="bottom" textRotation="0" wrapText="false" indent="0" shrinkToFit="false"/>
    </xf>
    <xf numFmtId="164" fontId="16" fillId="13" borderId="1" applyFont="true" applyBorder="true" applyAlignment="true" applyProtection="false">
      <alignment horizontal="general" vertical="bottom" textRotation="0" wrapText="false" indent="0" shrinkToFit="false"/>
    </xf>
    <xf numFmtId="164" fontId="17" fillId="14" borderId="2" applyFont="true" applyBorder="true" applyAlignment="true" applyProtection="false">
      <alignment horizontal="general" vertical="bottom" textRotation="0" wrapText="false" indent="0" shrinkToFit="false"/>
    </xf>
    <xf numFmtId="164" fontId="17" fillId="14" borderId="0" applyFont="true" applyBorder="false" applyAlignment="true" applyProtection="false">
      <alignment horizontal="general" vertical="bottom" textRotation="0" wrapText="false" indent="0" shrinkToFit="false"/>
    </xf>
    <xf numFmtId="164" fontId="18" fillId="15" borderId="0" applyFont="true" applyBorder="false" applyAlignment="true" applyProtection="false">
      <alignment horizontal="general" vertical="bottom" textRotation="0" wrapText="false" indent="0" shrinkToFit="false"/>
    </xf>
    <xf numFmtId="164" fontId="19" fillId="16"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17" fillId="14" borderId="0" applyFont="true" applyBorder="false" applyAlignment="true" applyProtection="false">
      <alignment horizontal="general" vertical="bottom" textRotation="0" wrapText="false" indent="0" shrinkToFit="false"/>
    </xf>
    <xf numFmtId="164" fontId="20" fillId="17"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21" fillId="14"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22" fillId="1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23" fillId="18" borderId="0" applyFont="true" applyBorder="false" applyAlignment="true" applyProtection="false">
      <alignment horizontal="general" vertical="bottom" textRotation="0" wrapText="false" indent="0" shrinkToFit="false"/>
    </xf>
    <xf numFmtId="164" fontId="21" fillId="8" borderId="0" applyFont="true" applyBorder="false" applyAlignment="true" applyProtection="false">
      <alignment horizontal="general"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19"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1" borderId="0" xfId="0" applyFont="true" applyBorder="false" applyAlignment="true" applyProtection="false">
      <alignment horizontal="center" vertical="bottom" textRotation="0" wrapText="false" indent="0" shrinkToFit="false"/>
      <protection locked="true" hidden="false"/>
    </xf>
    <xf numFmtId="164" fontId="21" fillId="2" borderId="0" xfId="0" applyFont="true" applyBorder="false" applyAlignment="true" applyProtection="false">
      <alignment horizontal="center" vertical="bottom" textRotation="0" wrapText="false" indent="0" shrinkToFit="false"/>
      <protection locked="true" hidden="false"/>
    </xf>
    <xf numFmtId="164" fontId="21" fillId="3" borderId="0" xfId="0" applyFont="true" applyBorder="false" applyAlignment="true" applyProtection="false">
      <alignment horizontal="center" vertical="bottom" textRotation="0" wrapText="false" indent="0" shrinkToFit="false"/>
      <protection locked="true" hidden="false"/>
    </xf>
    <xf numFmtId="164" fontId="0" fillId="22" borderId="0" xfId="0" applyFont="true" applyBorder="false" applyAlignment="true" applyProtection="false">
      <alignment horizontal="center" vertical="bottom" textRotation="0" wrapText="false" indent="0" shrinkToFit="false"/>
      <protection locked="true" hidden="false"/>
    </xf>
    <xf numFmtId="164" fontId="21" fillId="23" borderId="0" xfId="0" applyFont="true" applyBorder="false" applyAlignment="true" applyProtection="false">
      <alignment horizontal="center" vertical="bottom" textRotation="0" wrapText="false" indent="0" shrinkToFit="false"/>
      <protection locked="true" hidden="false"/>
    </xf>
    <xf numFmtId="164" fontId="21" fillId="1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31"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31" applyFont="true" applyBorder="true" applyAlignment="false" applyProtection="false">
      <alignment horizontal="general" vertical="bottom" textRotation="0" wrapText="false" indent="0" shrinkToFit="false"/>
      <protection locked="true" hidden="false"/>
    </xf>
    <xf numFmtId="164" fontId="0" fillId="0" borderId="5" xfId="31" applyFont="true" applyBorder="true" applyAlignment="false" applyProtection="false">
      <alignment horizontal="general" vertical="bottom" textRotation="0" wrapText="false" indent="0" shrinkToFit="false"/>
      <protection locked="true" hidden="false"/>
    </xf>
    <xf numFmtId="164" fontId="0" fillId="0" borderId="6" xfId="30" applyFont="true" applyBorder="true" applyAlignment="false" applyProtection="false">
      <alignment horizontal="general" vertical="bottom" textRotation="0" wrapText="false" indent="0" shrinkToFit="false"/>
      <protection locked="true" hidden="false"/>
    </xf>
    <xf numFmtId="164" fontId="0" fillId="0" borderId="7" xfId="29" applyFont="true" applyBorder="true" applyAlignment="false" applyProtection="false">
      <alignment horizontal="left" vertical="bottom" textRotation="0" wrapText="false" indent="0" shrinkToFit="false"/>
      <protection locked="true" hidden="false"/>
    </xf>
    <xf numFmtId="164" fontId="0" fillId="0" borderId="3" xfId="29" applyFont="true" applyBorder="true" applyAlignment="false" applyProtection="false">
      <alignment horizontal="left" vertical="bottom" textRotation="0" wrapText="false" indent="0" shrinkToFit="false"/>
      <protection locked="true" hidden="false"/>
    </xf>
    <xf numFmtId="165" fontId="0" fillId="0" borderId="3" xfId="29" applyFont="true" applyBorder="true" applyAlignment="false" applyProtection="false">
      <alignment horizontal="left" vertical="bottom" textRotation="0" wrapText="false" indent="0" shrinkToFit="false"/>
      <protection locked="true" hidden="false"/>
    </xf>
    <xf numFmtId="166" fontId="0" fillId="0" borderId="8" xfId="34" applyFont="false" applyBorder="true" applyAlignment="false" applyProtection="false">
      <alignment horizontal="general" vertical="bottom" textRotation="0" wrapText="false" indent="0" shrinkToFit="false"/>
      <protection locked="true" hidden="false"/>
    </xf>
    <xf numFmtId="164" fontId="0" fillId="0" borderId="9" xfId="29" applyFont="true" applyBorder="true" applyAlignment="false" applyProtection="false">
      <alignment horizontal="left" vertical="bottom" textRotation="0" wrapText="false" indent="0" shrinkToFit="false"/>
      <protection locked="true" hidden="false"/>
    </xf>
    <xf numFmtId="164" fontId="0" fillId="0" borderId="10" xfId="29" applyFont="true" applyBorder="true" applyAlignment="false" applyProtection="false">
      <alignment horizontal="left" vertical="bottom" textRotation="0" wrapText="false" indent="0" shrinkToFit="false"/>
      <protection locked="true" hidden="false"/>
    </xf>
    <xf numFmtId="164" fontId="0" fillId="0" borderId="11" xfId="29" applyFont="false" applyBorder="true" applyAlignment="false" applyProtection="false">
      <alignment horizontal="left" vertical="bottom" textRotation="0" wrapText="false" indent="0" shrinkToFit="false"/>
      <protection locked="true" hidden="false"/>
    </xf>
    <xf numFmtId="164" fontId="0" fillId="0" borderId="12" xfId="29" applyFont="false" applyBorder="true" applyAlignment="false" applyProtection="false">
      <alignment horizontal="left" vertical="bottom" textRotation="0" wrapText="false" indent="0" shrinkToFit="false"/>
      <protection locked="true" hidden="false"/>
    </xf>
    <xf numFmtId="164" fontId="11" fillId="0" borderId="13" xfId="33" applyFont="true" applyBorder="true" applyAlignment="false" applyProtection="false">
      <alignment horizontal="left" vertical="bottom" textRotation="0" wrapText="false" indent="0" shrinkToFit="false"/>
      <protection locked="true" hidden="false"/>
    </xf>
    <xf numFmtId="164" fontId="11" fillId="0" borderId="14" xfId="33" applyFont="false" applyBorder="true" applyAlignment="false" applyProtection="false">
      <alignment horizontal="left" vertical="bottom" textRotation="0" wrapText="false" indent="0" shrinkToFit="false"/>
      <protection locked="true" hidden="false"/>
    </xf>
    <xf numFmtId="165" fontId="11" fillId="0" borderId="14" xfId="33" applyFont="false" applyBorder="true" applyAlignment="false" applyProtection="false">
      <alignment horizontal="left" vertical="bottom" textRotation="0" wrapText="false" indent="0" shrinkToFit="false"/>
      <protection locked="true" hidden="false"/>
    </xf>
    <xf numFmtId="164" fontId="11" fillId="0" borderId="15" xfId="33" applyFont="false" applyBorder="true" applyAlignment="false" applyProtection="false">
      <alignment horizontal="left" vertical="bottom" textRotation="0" wrapText="false" indent="0" shrinkToFit="false"/>
      <protection locked="true" hidden="false"/>
    </xf>
    <xf numFmtId="166" fontId="11" fillId="0" borderId="16" xfId="32"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24" fillId="20" borderId="0" xfId="0" applyFont="true" applyBorder="true" applyAlignment="true" applyProtection="false">
      <alignment horizontal="left" vertical="top" textRotation="0" wrapText="true" indent="0" shrinkToFit="false"/>
      <protection locked="true" hidden="false"/>
    </xf>
    <xf numFmtId="164" fontId="24" fillId="20" borderId="0" xfId="0" applyFont="true" applyBorder="true" applyAlignment="true" applyProtection="false">
      <alignment horizontal="center" vertical="top" textRotation="0" wrapText="true" indent="0" shrinkToFit="false"/>
      <protection locked="true" hidden="false"/>
    </xf>
    <xf numFmtId="164" fontId="24" fillId="20" borderId="0" xfId="0" applyFont="true" applyBorder="true" applyAlignment="true" applyProtection="false">
      <alignment horizontal="general" vertical="top" textRotation="0" wrapText="true" indent="0" shrinkToFit="false"/>
      <protection locked="true" hidden="false"/>
    </xf>
    <xf numFmtId="164" fontId="24" fillId="20" borderId="0" xfId="0" applyFont="true" applyBorder="true" applyAlignment="true" applyProtection="false">
      <alignment horizontal="left" vertical="top" textRotation="0" wrapText="true" indent="0" shrinkToFit="false"/>
      <protection locked="true" hidden="false"/>
    </xf>
    <xf numFmtId="168" fontId="24" fillId="20" borderId="0" xfId="0" applyFont="true" applyBorder="true" applyAlignment="true" applyProtection="false">
      <alignment horizontal="center"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21" fillId="20" borderId="0" xfId="0" applyFont="true" applyBorder="true" applyAlignment="true" applyProtection="false">
      <alignment horizontal="left" vertical="bottom" textRotation="0" wrapText="true" indent="0" shrinkToFit="false"/>
      <protection locked="true" hidden="false"/>
    </xf>
    <xf numFmtId="164" fontId="21" fillId="20" borderId="0" xfId="0" applyFont="true" applyBorder="true" applyAlignment="true" applyProtection="false">
      <alignment horizontal="center" vertical="bottom" textRotation="90" wrapText="true" indent="0" shrinkToFit="false"/>
      <protection locked="true" hidden="false"/>
    </xf>
    <xf numFmtId="164" fontId="21" fillId="20" borderId="0" xfId="0" applyFont="true" applyBorder="true" applyAlignment="true" applyProtection="false">
      <alignment horizontal="center" vertical="bottom" textRotation="0" wrapText="true" indent="0" shrinkToFit="false"/>
      <protection locked="true" hidden="false"/>
    </xf>
    <xf numFmtId="164" fontId="21" fillId="20" borderId="0" xfId="0" applyFont="true" applyBorder="true" applyAlignment="true" applyProtection="false">
      <alignment horizontal="general" vertical="bottom" textRotation="90" wrapText="true" indent="0" shrinkToFit="false"/>
      <protection locked="true" hidden="false"/>
    </xf>
    <xf numFmtId="164" fontId="21" fillId="20" borderId="0" xfId="0" applyFont="true" applyBorder="true" applyAlignment="true" applyProtection="false">
      <alignment horizontal="general" vertical="bottom" textRotation="0" wrapText="true" indent="0" shrinkToFit="false"/>
      <protection locked="true" hidden="false"/>
    </xf>
    <xf numFmtId="168" fontId="21" fillId="20" borderId="0" xfId="0" applyFont="true" applyBorder="true" applyAlignment="true" applyProtection="false">
      <alignment horizontal="center" vertical="bottom" textRotation="0" wrapText="true" indent="0" shrinkToFit="false"/>
      <protection locked="true" hidden="false"/>
    </xf>
    <xf numFmtId="169" fontId="22" fillId="20" borderId="17" xfId="0" applyFont="true" applyBorder="true" applyAlignment="true" applyProtection="false">
      <alignment horizontal="left" vertical="top" textRotation="0" wrapText="true" indent="0" shrinkToFit="false"/>
      <protection locked="true" hidden="false"/>
    </xf>
    <xf numFmtId="169" fontId="22" fillId="20" borderId="17" xfId="0" applyFont="true" applyBorder="true" applyAlignment="true" applyProtection="false">
      <alignment horizontal="center" vertical="top" textRotation="0" wrapText="true" indent="0" shrinkToFit="false"/>
      <protection locked="true" hidden="false"/>
    </xf>
    <xf numFmtId="169" fontId="22" fillId="20" borderId="17" xfId="0" applyFont="true" applyBorder="true" applyAlignment="true" applyProtection="false">
      <alignment horizontal="general" vertical="top" textRotation="0" wrapText="true" indent="0" shrinkToFit="false"/>
      <protection locked="true" hidden="false"/>
    </xf>
    <xf numFmtId="168" fontId="22" fillId="20" borderId="17" xfId="0" applyFont="true" applyBorder="true" applyAlignment="true" applyProtection="false">
      <alignment horizontal="center" vertical="top" textRotation="0" wrapText="true" indent="0" shrinkToFit="false"/>
      <protection locked="true" hidden="false"/>
    </xf>
    <xf numFmtId="165" fontId="22" fillId="0" borderId="17" xfId="0" applyFont="true" applyBorder="true" applyAlignment="true" applyProtection="false">
      <alignment horizontal="center" vertical="top" textRotation="0" wrapText="false" indent="0" shrinkToFit="false"/>
      <protection locked="true" hidden="false"/>
    </xf>
    <xf numFmtId="166" fontId="22" fillId="0" borderId="17" xfId="0" applyFont="true" applyBorder="true" applyAlignment="true" applyProtection="false">
      <alignment horizontal="center" vertical="top" textRotation="0" wrapText="false" indent="0" shrinkToFit="false"/>
      <protection locked="true" hidden="false"/>
    </xf>
    <xf numFmtId="169" fontId="22" fillId="0" borderId="17" xfId="0" applyFont="true" applyBorder="true" applyAlignment="true" applyProtection="false">
      <alignment horizontal="center" vertical="top" textRotation="0" wrapText="false" indent="0" shrinkToFit="false"/>
      <protection locked="true" hidden="false"/>
    </xf>
    <xf numFmtId="164" fontId="22" fillId="0" borderId="17" xfId="0" applyFont="true" applyBorder="true" applyAlignment="true" applyProtection="false">
      <alignment horizontal="center" vertical="top" textRotation="0" wrapText="false" indent="0" shrinkToFit="false"/>
      <protection locked="true" hidden="false"/>
    </xf>
    <xf numFmtId="169" fontId="22" fillId="0" borderId="17" xfId="0" applyFont="true" applyBorder="true" applyAlignment="true" applyProtection="false">
      <alignment horizontal="left" vertical="top" textRotation="0" wrapText="false" indent="0" shrinkToFit="false"/>
      <protection locked="true" hidden="false"/>
    </xf>
    <xf numFmtId="165" fontId="0" fillId="0" borderId="17" xfId="0" applyFont="true" applyBorder="true" applyAlignment="true" applyProtection="false">
      <alignment horizontal="center" vertical="top" textRotation="0" wrapText="false" indent="0" shrinkToFit="false"/>
      <protection locked="true" hidden="false"/>
    </xf>
    <xf numFmtId="165" fontId="4" fillId="0" borderId="17" xfId="0" applyFont="true" applyBorder="true" applyAlignment="true" applyProtection="fals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false" indent="0" shrinkToFit="false"/>
      <protection locked="true" hidden="false"/>
    </xf>
    <xf numFmtId="170" fontId="0" fillId="0" borderId="17" xfId="0" applyFont="true" applyBorder="true" applyAlignment="true" applyProtection="fals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71" fontId="21" fillId="0" borderId="17" xfId="0" applyFont="true" applyBorder="true" applyAlignment="true" applyProtection="false">
      <alignment horizontal="center" vertical="top" textRotation="0" wrapText="false" indent="0" shrinkToFit="false"/>
      <protection locked="true" hidden="false"/>
    </xf>
    <xf numFmtId="169" fontId="22" fillId="0" borderId="17" xfId="0" applyFont="true" applyBorder="true" applyAlignment="true" applyProtection="false">
      <alignment horizontal="general" vertical="top" textRotation="0" wrapText="true" indent="0" shrinkToFit="false"/>
      <protection locked="true" hidden="false"/>
    </xf>
    <xf numFmtId="169" fontId="22" fillId="0" borderId="17" xfId="0" applyFont="true" applyBorder="true" applyAlignment="true" applyProtection="false">
      <alignment horizontal="general" vertical="top" textRotation="0" wrapText="false" indent="0" shrinkToFit="false"/>
      <protection locked="true" hidden="false"/>
    </xf>
    <xf numFmtId="168" fontId="22" fillId="0" borderId="17" xfId="0" applyFont="true" applyBorder="true" applyAlignment="true" applyProtection="false">
      <alignment horizontal="center" vertical="top" textRotation="0" wrapText="false" indent="0" shrinkToFit="false"/>
      <protection locked="true" hidden="false"/>
    </xf>
    <xf numFmtId="164" fontId="0" fillId="0" borderId="17" xfId="0" applyFont="false" applyBorder="true" applyAlignment="true" applyProtection="false">
      <alignment horizontal="left" vertical="top" textRotation="0" wrapText="false" indent="0" shrinkToFit="false"/>
      <protection locked="true" hidden="false"/>
    </xf>
    <xf numFmtId="172" fontId="22" fillId="0" borderId="17" xfId="0" applyFont="true" applyBorder="true" applyAlignment="true" applyProtection="false">
      <alignment horizontal="general" vertical="top" textRotation="0" wrapText="true" indent="0" shrinkToFit="false"/>
      <protection locked="true" hidden="false"/>
    </xf>
    <xf numFmtId="172" fontId="22" fillId="0" borderId="17" xfId="0" applyFont="true" applyBorder="true" applyAlignment="true" applyProtection="false">
      <alignment horizontal="general" vertical="top" textRotation="0" wrapText="false" indent="0" shrinkToFit="false"/>
      <protection locked="true" hidden="false"/>
    </xf>
    <xf numFmtId="173" fontId="0" fillId="0" borderId="17" xfId="0" applyFont="true" applyBorder="true" applyAlignment="true" applyProtection="false">
      <alignment horizontal="center" vertical="top" textRotation="0" wrapText="false" indent="0" shrinkToFit="false"/>
      <protection locked="true" hidden="false"/>
    </xf>
    <xf numFmtId="173" fontId="4" fillId="0" borderId="17" xfId="0" applyFont="true" applyBorder="true" applyAlignment="true" applyProtection="false">
      <alignment horizontal="center" vertical="top" textRotation="0" wrapText="false" indent="0" shrinkToFit="false"/>
      <protection locked="true" hidden="false"/>
    </xf>
    <xf numFmtId="173" fontId="0" fillId="0" borderId="17" xfId="0" applyFont="true" applyBorder="true" applyAlignment="true" applyProtection="false">
      <alignment horizontal="general" vertical="top" textRotation="0" wrapText="false" indent="0" shrinkToFit="false"/>
      <protection locked="true" hidden="false"/>
    </xf>
    <xf numFmtId="173" fontId="0" fillId="0" borderId="17" xfId="0" applyFont="true" applyBorder="true" applyAlignment="true" applyProtection="false">
      <alignment horizontal="general" vertical="top" textRotation="0" wrapText="true" indent="0" shrinkToFit="false"/>
      <protection locked="true" hidden="false"/>
    </xf>
    <xf numFmtId="173" fontId="22" fillId="0" borderId="17" xfId="0" applyFont="true" applyBorder="true" applyAlignment="true" applyProtection="false">
      <alignment horizontal="center" vertical="top" textRotation="0" wrapText="false" indent="0" shrinkToFit="false"/>
      <protection locked="true" hidden="false"/>
    </xf>
    <xf numFmtId="165" fontId="21" fillId="19" borderId="17" xfId="0" applyFont="true" applyBorder="true" applyAlignment="true" applyProtection="false">
      <alignment horizontal="left" vertical="top" textRotation="0" wrapText="false" indent="0" shrinkToFit="false"/>
      <protection locked="true" hidden="false"/>
    </xf>
    <xf numFmtId="165" fontId="0" fillId="19" borderId="17" xfId="0" applyFont="true" applyBorder="true" applyAlignment="true" applyProtection="false">
      <alignment horizontal="center" vertical="top" textRotation="0" wrapText="false" indent="0" shrinkToFit="false"/>
      <protection locked="true" hidden="false"/>
    </xf>
    <xf numFmtId="165" fontId="21" fillId="19" borderId="17" xfId="0" applyFont="true" applyBorder="true" applyAlignment="true" applyProtection="false">
      <alignment horizontal="center" vertical="top" textRotation="0" wrapText="false" indent="0" shrinkToFit="false"/>
      <protection locked="true" hidden="false"/>
    </xf>
    <xf numFmtId="164" fontId="0" fillId="19" borderId="17" xfId="0" applyFont="false" applyBorder="true" applyAlignment="true" applyProtection="false">
      <alignment horizontal="left" vertical="top" textRotation="0" wrapText="false" indent="0" shrinkToFit="false"/>
      <protection locked="true" hidden="false"/>
    </xf>
    <xf numFmtId="165" fontId="22" fillId="19" borderId="17" xfId="0" applyFont="true" applyBorder="true" applyAlignment="true" applyProtection="false">
      <alignment horizontal="center" vertical="top" textRotation="0" wrapText="false" indent="0" shrinkToFit="false"/>
      <protection locked="true" hidden="false"/>
    </xf>
    <xf numFmtId="164" fontId="24" fillId="20" borderId="0" xfId="0" applyFont="true" applyBorder="true" applyAlignment="true" applyProtection="false">
      <alignment horizontal="left" vertical="top" textRotation="0" wrapText="false" indent="0" shrinkToFit="false"/>
      <protection locked="true" hidden="false"/>
    </xf>
    <xf numFmtId="167" fontId="22" fillId="20" borderId="17" xfId="0" applyFont="true" applyBorder="true" applyAlignment="true" applyProtection="false">
      <alignment horizontal="center" vertical="top" textRotation="0" wrapText="true" indent="0" shrinkToFit="false"/>
      <protection locked="true" hidden="false"/>
    </xf>
    <xf numFmtId="164" fontId="22" fillId="20" borderId="17"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74" fontId="0" fillId="0" borderId="17" xfId="0" applyFont="true" applyBorder="true" applyAlignment="true" applyProtection="false">
      <alignment horizontal="center" vertical="top" textRotation="0" wrapText="false" indent="0" shrinkToFit="false"/>
      <protection locked="true" hidden="false"/>
    </xf>
    <xf numFmtId="170" fontId="22" fillId="0" borderId="17" xfId="0" applyFont="true" applyBorder="true" applyAlignment="true" applyProtection="false">
      <alignment horizontal="center" vertical="top" textRotation="0" wrapText="false" indent="0" shrinkToFit="false"/>
      <protection locked="true" hidden="false"/>
    </xf>
    <xf numFmtId="165" fontId="0" fillId="0" borderId="17" xfId="0" applyFont="true" applyBorder="true" applyAlignment="true" applyProtection="false">
      <alignment horizontal="left" vertical="top"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7" fontId="24" fillId="20" borderId="0" xfId="0" applyFont="true" applyBorder="true" applyAlignment="true" applyProtection="false">
      <alignment horizontal="center" vertical="top" textRotation="0" wrapText="true" indent="0" shrinkToFit="false"/>
      <protection locked="true" hidden="false"/>
    </xf>
    <xf numFmtId="165" fontId="24" fillId="20" borderId="0" xfId="0" applyFont="true" applyBorder="true" applyAlignment="true" applyProtection="false">
      <alignment horizontal="center" vertical="top" textRotation="0" wrapText="true" indent="0" shrinkToFit="false"/>
      <protection locked="true" hidden="false"/>
    </xf>
    <xf numFmtId="175" fontId="24" fillId="20" borderId="0" xfId="0" applyFont="true" applyBorder="true" applyAlignment="true" applyProtection="false">
      <alignment horizontal="center" vertical="top" textRotation="0" wrapText="true" indent="0" shrinkToFit="false"/>
      <protection locked="true" hidden="false"/>
    </xf>
    <xf numFmtId="167" fontId="27" fillId="20" borderId="0" xfId="0" applyFont="true" applyBorder="true" applyAlignment="true" applyProtection="false">
      <alignment horizontal="left" vertical="top" textRotation="0" wrapText="true" indent="0" shrinkToFit="false"/>
      <protection locked="true" hidden="false"/>
    </xf>
    <xf numFmtId="164" fontId="27" fillId="20" borderId="0" xfId="0" applyFont="true" applyBorder="true" applyAlignment="true" applyProtection="false">
      <alignment horizontal="center" vertical="top" textRotation="0" wrapText="true" indent="0" shrinkToFit="false"/>
      <protection locked="true" hidden="false"/>
    </xf>
    <xf numFmtId="164" fontId="27" fillId="20" borderId="0" xfId="0" applyFont="true" applyBorder="true" applyAlignment="true" applyProtection="false">
      <alignment horizontal="left" vertical="top" textRotation="0" wrapText="true" indent="0" shrinkToFit="false"/>
      <protection locked="true" hidden="false"/>
    </xf>
    <xf numFmtId="167" fontId="27" fillId="20" borderId="0" xfId="0" applyFont="true" applyBorder="true" applyAlignment="true" applyProtection="false">
      <alignment horizontal="center" vertical="top" textRotation="0" wrapText="true" indent="0" shrinkToFit="false"/>
      <protection locked="true" hidden="false"/>
    </xf>
    <xf numFmtId="164" fontId="27" fillId="20" borderId="0" xfId="0" applyFont="true" applyBorder="true" applyAlignment="true" applyProtection="false">
      <alignment horizontal="general" vertical="top" textRotation="0" wrapText="true" indent="0" shrinkToFit="false"/>
      <protection locked="true" hidden="false"/>
    </xf>
    <xf numFmtId="165" fontId="27" fillId="20" borderId="0" xfId="0" applyFont="true" applyBorder="true" applyAlignment="true" applyProtection="false">
      <alignment horizontal="center" vertical="top" textRotation="0" wrapText="true" indent="0" shrinkToFit="false"/>
      <protection locked="true" hidden="false"/>
    </xf>
    <xf numFmtId="164" fontId="27" fillId="24" borderId="0" xfId="0" applyFont="true" applyBorder="true" applyAlignment="true" applyProtection="false">
      <alignment horizontal="left" vertical="top" textRotation="0" wrapText="true" indent="0" shrinkToFit="false"/>
      <protection locked="true" hidden="false"/>
    </xf>
    <xf numFmtId="175" fontId="27" fillId="20" borderId="0" xfId="0" applyFont="true" applyBorder="tru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5" fontId="21" fillId="20" borderId="0" xfId="0" applyFont="true" applyBorder="true" applyAlignment="true" applyProtection="false">
      <alignment horizontal="center" vertical="bottom" textRotation="0" wrapText="true" indent="0" shrinkToFit="false"/>
      <protection locked="true" hidden="false"/>
    </xf>
    <xf numFmtId="165" fontId="29" fillId="20" borderId="0" xfId="0" applyFont="true" applyBorder="true" applyAlignment="true" applyProtection="false">
      <alignment horizontal="left" vertical="bottom" textRotation="90" wrapText="false" indent="0" shrinkToFit="false"/>
      <protection locked="true" hidden="false"/>
    </xf>
    <xf numFmtId="175" fontId="21" fillId="20" borderId="0" xfId="0" applyFont="true" applyBorder="true" applyAlignment="true" applyProtection="false">
      <alignment horizontal="center" vertical="bottom" textRotation="0" wrapText="true" indent="0" shrinkToFit="false"/>
      <protection locked="true" hidden="false"/>
    </xf>
    <xf numFmtId="165" fontId="22" fillId="20" borderId="17" xfId="0" applyFont="true" applyBorder="true" applyAlignment="true" applyProtection="false">
      <alignment horizontal="left" vertical="top" textRotation="0" wrapText="true" indent="0" shrinkToFit="false"/>
      <protection locked="true" hidden="false"/>
    </xf>
    <xf numFmtId="175" fontId="22" fillId="20" borderId="17" xfId="0" applyFont="true" applyBorder="true" applyAlignment="true" applyProtection="false">
      <alignment horizontal="left" vertical="top" textRotation="0" wrapText="true" indent="0" shrinkToFit="false"/>
      <protection locked="true" hidden="false"/>
    </xf>
    <xf numFmtId="167" fontId="22" fillId="0" borderId="17" xfId="0" applyFont="true" applyBorder="true" applyAlignment="true" applyProtection="false">
      <alignment horizontal="center" vertical="top" textRotation="0" wrapText="false" indent="0" shrinkToFit="false"/>
      <protection locked="true" hidden="false"/>
    </xf>
    <xf numFmtId="164" fontId="4" fillId="0" borderId="17" xfId="0" applyFont="true" applyBorder="true" applyAlignment="true" applyProtection="false">
      <alignment horizontal="center" vertical="top" textRotation="0" wrapText="false" indent="0" shrinkToFit="false"/>
      <protection locked="true" hidden="false"/>
    </xf>
    <xf numFmtId="164" fontId="4" fillId="0" borderId="17" xfId="0" applyFont="true" applyBorder="true" applyAlignment="true" applyProtection="false">
      <alignment horizontal="left" vertical="top" textRotation="0" wrapText="false" indent="0" shrinkToFit="false"/>
      <protection locked="true" hidden="false"/>
    </xf>
    <xf numFmtId="165" fontId="0" fillId="0" borderId="17" xfId="0" applyFont="false" applyBorder="true" applyAlignment="true" applyProtection="false">
      <alignment horizontal="center" vertical="top" textRotation="0" wrapText="false" indent="0" shrinkToFit="false"/>
      <protection locked="true" hidden="false"/>
    </xf>
    <xf numFmtId="176" fontId="0" fillId="0" borderId="17" xfId="0" applyFont="false" applyBorder="true" applyAlignment="true" applyProtection="false">
      <alignment horizontal="center" vertical="top" textRotation="0" wrapText="false" indent="0" shrinkToFit="false"/>
      <protection locked="true" hidden="false"/>
    </xf>
    <xf numFmtId="164" fontId="0" fillId="0" borderId="17" xfId="0" applyFont="true" applyBorder="true" applyAlignment="true" applyProtection="false">
      <alignment horizontal="left" vertical="top" textRotation="0" wrapText="true" indent="0" shrinkToFit="false"/>
      <protection locked="true" hidden="false"/>
    </xf>
    <xf numFmtId="171" fontId="22" fillId="0" borderId="17" xfId="0" applyFont="true" applyBorder="true" applyAlignment="true" applyProtection="false">
      <alignment horizontal="center" vertical="top" textRotation="0" wrapText="false" indent="0" shrinkToFit="false"/>
      <protection locked="true" hidden="false"/>
    </xf>
    <xf numFmtId="166" fontId="30" fillId="0" borderId="17" xfId="0" applyFont="true" applyBorder="true" applyAlignment="true" applyProtection="false">
      <alignment horizontal="left" vertical="top" textRotation="0" wrapText="false" indent="0" shrinkToFit="false"/>
      <protection locked="true" hidden="false"/>
    </xf>
    <xf numFmtId="166" fontId="0" fillId="0" borderId="17" xfId="0" applyFont="false" applyBorder="true" applyAlignment="true" applyProtection="false">
      <alignment horizontal="left" vertical="top" textRotation="0" wrapText="false" indent="0" shrinkToFit="false"/>
      <protection locked="true" hidden="false"/>
    </xf>
    <xf numFmtId="169" fontId="22" fillId="0" borderId="17" xfId="0" applyFont="true" applyBorder="true" applyAlignment="true" applyProtection="false">
      <alignment horizontal="left" vertical="top" textRotation="0" wrapText="true" indent="0" shrinkToFit="false"/>
      <protection locked="true" hidden="false"/>
    </xf>
    <xf numFmtId="175" fontId="22" fillId="0" borderId="17" xfId="0" applyFont="true" applyBorder="true" applyAlignment="true" applyProtection="false">
      <alignment horizontal="center" vertical="top" textRotation="0" wrapText="false" indent="0" shrinkToFit="false"/>
      <protection locked="true" hidden="false"/>
    </xf>
    <xf numFmtId="174" fontId="22" fillId="0" borderId="17" xfId="0" applyFont="true" applyBorder="true" applyAlignment="true" applyProtection="false">
      <alignment horizontal="center" vertical="top" textRotation="0" wrapText="false" indent="0" shrinkToFit="false"/>
      <protection locked="true" hidden="false"/>
    </xf>
    <xf numFmtId="176" fontId="22" fillId="0" borderId="17" xfId="0" applyFont="true" applyBorder="true" applyAlignment="true" applyProtection="false">
      <alignment horizontal="center" vertical="top" textRotation="0" wrapText="false" indent="0" shrinkToFit="false"/>
      <protection locked="true" hidden="false"/>
    </xf>
    <xf numFmtId="165" fontId="24" fillId="20" borderId="0" xfId="0" applyFont="true" applyBorder="true" applyAlignment="true" applyProtection="false">
      <alignment horizontal="left" vertical="top" textRotation="0" wrapText="true" indent="0" shrinkToFit="false"/>
      <protection locked="true" hidden="false"/>
    </xf>
    <xf numFmtId="165" fontId="21" fillId="20" borderId="0" xfId="0" applyFont="true" applyBorder="true" applyAlignment="true" applyProtection="false">
      <alignment horizontal="center" vertical="bottom" textRotation="90" wrapText="true" indent="0" shrinkToFit="false"/>
      <protection locked="true" hidden="false"/>
    </xf>
    <xf numFmtId="177" fontId="22" fillId="20" borderId="17" xfId="0" applyFont="true" applyBorder="true" applyAlignment="true" applyProtection="false">
      <alignment horizontal="center" vertical="top" textRotation="0" wrapText="true" indent="0" shrinkToFit="false"/>
      <protection locked="true" hidden="false"/>
    </xf>
    <xf numFmtId="165" fontId="22" fillId="20" borderId="17" xfId="0" applyFont="true" applyBorder="true" applyAlignment="true" applyProtection="false">
      <alignment horizontal="center" vertical="top" textRotation="0" wrapText="true" indent="0" shrinkToFit="false"/>
      <protection locked="true" hidden="false"/>
    </xf>
    <xf numFmtId="169" fontId="31" fillId="0" borderId="17" xfId="0" applyFont="true" applyBorder="true" applyAlignment="true" applyProtection="false">
      <alignment horizontal="left" vertical="top" textRotation="0" wrapText="false" indent="0" shrinkToFit="false"/>
      <protection locked="true" hidden="false"/>
    </xf>
    <xf numFmtId="164" fontId="0" fillId="0" borderId="17" xfId="0" applyFont="true" applyBorder="true" applyAlignment="true" applyProtection="false">
      <alignment horizontal="left" vertical="top" textRotation="0" wrapText="false" indent="0" shrinkToFit="false"/>
      <protection locked="true" hidden="false"/>
    </xf>
    <xf numFmtId="168" fontId="0" fillId="0" borderId="17" xfId="0" applyFont="false" applyBorder="true" applyAlignment="true" applyProtection="false">
      <alignment horizontal="left" vertical="top" textRotation="0" wrapText="false" indent="0" shrinkToFit="false"/>
      <protection locked="true" hidden="false"/>
    </xf>
    <xf numFmtId="170" fontId="31" fillId="0" borderId="17" xfId="0" applyFont="true" applyBorder="true" applyAlignment="true" applyProtection="false">
      <alignment horizontal="center" vertical="top" textRotation="0" wrapText="false" indent="0" shrinkToFit="false"/>
      <protection locked="true" hidden="false"/>
    </xf>
    <xf numFmtId="168" fontId="0" fillId="3" borderId="17" xfId="0" applyFont="false" applyBorder="true" applyAlignment="true" applyProtection="false">
      <alignment horizontal="center" vertical="top" textRotation="0" wrapText="false" indent="0" shrinkToFit="false"/>
      <protection locked="true" hidden="false"/>
    </xf>
    <xf numFmtId="170" fontId="0" fillId="0" borderId="17" xfId="0" applyFont="false" applyBorder="true" applyAlignment="true" applyProtection="false">
      <alignment horizontal="center" vertical="top" textRotation="0" wrapText="false" indent="0" shrinkToFit="false"/>
      <protection locked="true" hidden="false"/>
    </xf>
    <xf numFmtId="168" fontId="0" fillId="6" borderId="17" xfId="0" applyFont="false" applyBorder="true" applyAlignment="true" applyProtection="false">
      <alignment horizontal="center" vertical="top" textRotation="0" wrapText="false" indent="0" shrinkToFit="false"/>
      <protection locked="true" hidden="false"/>
    </xf>
    <xf numFmtId="168" fontId="0" fillId="12" borderId="17" xfId="0" applyFont="false" applyBorder="true" applyAlignment="true" applyProtection="false">
      <alignment horizontal="center" vertical="top" textRotation="0" wrapText="false" indent="0" shrinkToFit="false"/>
      <protection locked="true" hidden="false"/>
    </xf>
    <xf numFmtId="168" fontId="0" fillId="0" borderId="17"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21" fillId="20" borderId="0" xfId="0" applyFont="true" applyBorder="true" applyAlignment="true" applyProtection="false">
      <alignment horizontal="right" vertical="bottom" textRotation="0" wrapText="true" indent="0" shrinkToFit="false"/>
      <protection locked="true" hidden="false"/>
    </xf>
    <xf numFmtId="165" fontId="21" fillId="20" borderId="0" xfId="0" applyFont="true" applyBorder="true" applyAlignment="true" applyProtection="false">
      <alignment horizontal="left" vertical="bottom" textRotation="0" wrapText="true" indent="0" shrinkToFit="false"/>
      <protection locked="true" hidden="false"/>
    </xf>
    <xf numFmtId="169" fontId="22" fillId="20" borderId="17" xfId="0" applyFont="true" applyBorder="true" applyAlignment="true" applyProtection="false">
      <alignment horizontal="right" vertical="top" textRotation="0" wrapText="true" indent="0" shrinkToFit="false"/>
      <protection locked="true" hidden="false"/>
    </xf>
    <xf numFmtId="164" fontId="0" fillId="0" borderId="17" xfId="0" applyFont="true" applyBorder="true" applyAlignment="true" applyProtection="false">
      <alignment horizontal="right" vertical="top" textRotation="0" wrapText="false" indent="0" shrinkToFit="false"/>
      <protection locked="true" hidden="false"/>
    </xf>
    <xf numFmtId="164" fontId="0" fillId="0" borderId="17" xfId="0" applyFont="false" applyBorder="true" applyAlignment="true" applyProtection="false">
      <alignment horizontal="center" vertical="top" textRotation="0" wrapText="false" indent="0" shrinkToFit="false"/>
      <protection locked="true" hidden="false"/>
    </xf>
    <xf numFmtId="165" fontId="24" fillId="20" borderId="0" xfId="0" applyFont="true" applyBorder="true" applyAlignment="true" applyProtection="false">
      <alignment horizontal="right" vertical="top" textRotation="0" wrapText="true" indent="0" shrinkToFit="false"/>
      <protection locked="true" hidden="false"/>
    </xf>
    <xf numFmtId="165" fontId="21" fillId="20" borderId="0" xfId="0" applyFont="true" applyBorder="true" applyAlignment="true" applyProtection="false">
      <alignment horizontal="right" vertical="bottom" textRotation="0" wrapText="true" indent="0" shrinkToFit="false"/>
      <protection locked="true" hidden="false"/>
    </xf>
    <xf numFmtId="165" fontId="22" fillId="20" borderId="17" xfId="0" applyFont="true" applyBorder="true" applyAlignment="true" applyProtection="false">
      <alignment horizontal="right" vertical="top" textRotation="0" wrapText="true" indent="0" shrinkToFit="false"/>
      <protection locked="true" hidden="false"/>
    </xf>
    <xf numFmtId="165" fontId="0" fillId="0" borderId="17" xfId="0" applyFont="true" applyBorder="true" applyAlignment="true" applyProtection="false">
      <alignment horizontal="right" vertical="top" textRotation="0" wrapText="false" indent="0" shrinkToFit="false"/>
      <protection locked="true" hidden="false"/>
    </xf>
    <xf numFmtId="178" fontId="0" fillId="0" borderId="0" xfId="0" applyFont="false" applyBorder="false" applyAlignment="true" applyProtection="false">
      <alignment horizontal="center" vertical="bottom" textRotation="0" wrapText="false" indent="0" shrinkToFit="false"/>
      <protection locked="true" hidden="false"/>
    </xf>
    <xf numFmtId="178" fontId="24" fillId="20" borderId="0" xfId="0" applyFont="true" applyBorder="true" applyAlignment="true" applyProtection="false">
      <alignment horizontal="center" vertical="top" textRotation="0" wrapText="true" indent="0" shrinkToFit="false"/>
      <protection locked="true" hidden="false"/>
    </xf>
    <xf numFmtId="178" fontId="21" fillId="20" borderId="0" xfId="0" applyFont="true" applyBorder="true" applyAlignment="true" applyProtection="false">
      <alignment horizontal="center" vertical="bottom" textRotation="0" wrapText="true" indent="0" shrinkToFit="false"/>
      <protection locked="true" hidden="false"/>
    </xf>
    <xf numFmtId="178" fontId="22" fillId="20" borderId="17" xfId="0" applyFont="true" applyBorder="true" applyAlignment="true" applyProtection="false">
      <alignment horizontal="center" vertical="top" textRotation="0" wrapText="true" indent="0" shrinkToFit="false"/>
      <protection locked="true" hidden="false"/>
    </xf>
    <xf numFmtId="178" fontId="0" fillId="0" borderId="17" xfId="0" applyFont="true" applyBorder="true" applyAlignment="true" applyProtection="false">
      <alignment horizontal="center" vertical="top" textRotation="0" wrapText="false" indent="0" shrinkToFit="false"/>
      <protection locked="true" hidden="false"/>
    </xf>
    <xf numFmtId="164" fontId="0" fillId="25" borderId="17" xfId="0" applyFont="true" applyBorder="true" applyAlignment="true" applyProtection="false">
      <alignment horizontal="center" vertical="top" textRotation="0" wrapText="false" indent="0" shrinkToFit="false"/>
      <protection locked="true" hidden="false"/>
    </xf>
    <xf numFmtId="164" fontId="0" fillId="10" borderId="17" xfId="0" applyFont="true" applyBorder="true" applyAlignment="true" applyProtection="false">
      <alignment horizontal="center" vertical="top" textRotation="0" wrapText="false" indent="0" shrinkToFit="false"/>
      <protection locked="true" hidden="false"/>
    </xf>
    <xf numFmtId="164" fontId="0" fillId="6" borderId="17" xfId="0" applyFont="true" applyBorder="true" applyAlignment="true" applyProtection="false">
      <alignment horizontal="left" vertical="top" textRotation="0" wrapText="false" indent="0" shrinkToFit="false"/>
      <protection locked="true" hidden="false"/>
    </xf>
    <xf numFmtId="164" fontId="0" fillId="26" borderId="17" xfId="0" applyFont="true" applyBorder="true" applyAlignment="true" applyProtection="false">
      <alignment horizontal="left" vertical="top" textRotation="0" wrapText="false" indent="0" shrinkToFit="false"/>
      <protection locked="true" hidden="false"/>
    </xf>
    <xf numFmtId="164" fontId="24" fillId="19" borderId="0" xfId="0" applyFont="true" applyBorder="false" applyAlignment="true" applyProtection="false">
      <alignment horizontal="general" vertical="top" textRotation="0" wrapText="true" indent="0" shrinkToFit="false"/>
      <protection locked="true" hidden="false"/>
    </xf>
    <xf numFmtId="164" fontId="24" fillId="19" borderId="0" xfId="0" applyFont="true" applyBorder="false" applyAlignment="true" applyProtection="false">
      <alignment horizontal="center" vertical="top" textRotation="0" wrapText="true" indent="0" shrinkToFit="false"/>
      <protection locked="true" hidden="false"/>
    </xf>
    <xf numFmtId="164" fontId="24" fillId="19"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4" fillId="19" borderId="0" xfId="0" applyFont="true" applyBorder="false" applyAlignment="true" applyProtection="false">
      <alignment horizontal="general" vertical="bottom" textRotation="0" wrapText="true" indent="0" shrinkToFit="false"/>
      <protection locked="true" hidden="false"/>
    </xf>
    <xf numFmtId="164" fontId="24" fillId="19" borderId="0" xfId="0" applyFont="true" applyBorder="false" applyAlignment="true" applyProtection="false">
      <alignment horizontal="center" vertical="bottom" textRotation="0" wrapText="true" indent="0" shrinkToFit="false"/>
      <protection locked="true" hidden="false"/>
    </xf>
    <xf numFmtId="164" fontId="24" fillId="19"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19" borderId="0" xfId="0" applyFont="true" applyBorder="false" applyAlignment="true" applyProtection="false">
      <alignment horizontal="general" vertical="bottom" textRotation="0" wrapText="true" indent="0" shrinkToFit="false"/>
      <protection locked="true" hidden="false"/>
    </xf>
    <xf numFmtId="164" fontId="21" fillId="19" borderId="0" xfId="0" applyFont="true" applyBorder="false" applyAlignment="true" applyProtection="false">
      <alignment horizontal="center" vertical="bottom" textRotation="0" wrapText="true" indent="0" shrinkToFit="false"/>
      <protection locked="true" hidden="false"/>
    </xf>
    <xf numFmtId="164" fontId="21" fillId="19" borderId="0" xfId="0" applyFont="true" applyBorder="false" applyAlignment="true" applyProtection="false">
      <alignment horizontal="right" vertical="bottom" textRotation="0" wrapText="true" indent="0" shrinkToFit="false"/>
      <protection locked="true" hidden="false"/>
    </xf>
    <xf numFmtId="169" fontId="22" fillId="1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46">
    <cellStyle name="Normal" xfId="0" builtinId="0"/>
    <cellStyle name="Comma" xfId="15" builtinId="3"/>
    <cellStyle name="Comma [0]" xfId="16" builtinId="6"/>
    <cellStyle name="Currency" xfId="17" builtinId="4"/>
    <cellStyle name="Currency [0]" xfId="18" builtinId="7"/>
    <cellStyle name="Percent" xfId="19" builtinId="5"/>
    <cellStyle name="Black" xfId="20"/>
    <cellStyle name="BlackBG" xfId="21"/>
    <cellStyle name="Dark" xfId="22"/>
    <cellStyle name="Green" xfId="23"/>
    <cellStyle name="Grey" xfId="24"/>
    <cellStyle name="Light" xfId="25"/>
    <cellStyle name="LightGreen" xfId="26"/>
    <cellStyle name="LightRed" xfId="27"/>
    <cellStyle name="Mid" xfId="28"/>
    <cellStyle name="Pivot Table Category" xfId="29"/>
    <cellStyle name="Pivot Table Corner" xfId="30"/>
    <cellStyle name="Pivot Table Field" xfId="31"/>
    <cellStyle name="Pivot Table Result" xfId="32"/>
    <cellStyle name="Pivot Table Title" xfId="33"/>
    <cellStyle name="Pivot Table Value" xfId="34"/>
    <cellStyle name="Planning_Amber" xfId="35"/>
    <cellStyle name="Planning_Blue" xfId="36"/>
    <cellStyle name="Planning_DarkBlue" xfId="37"/>
    <cellStyle name="Planning_Green" xfId="38"/>
    <cellStyle name="Planning_Grey" xfId="39"/>
    <cellStyle name="Planning_LightBlue" xfId="40"/>
    <cellStyle name="Planning_LightPurple" xfId="41"/>
    <cellStyle name="Planning_Red" xfId="42"/>
    <cellStyle name="Red" xfId="43"/>
    <cellStyle name="SoftGreen" xfId="44"/>
    <cellStyle name="SoftRed" xfId="45"/>
    <cellStyle name="Started" xfId="46"/>
    <cellStyle name="Untitled1" xfId="47"/>
    <cellStyle name="Untitled10" xfId="48"/>
    <cellStyle name="Untitled11" xfId="49"/>
    <cellStyle name="Untitled12" xfId="50"/>
    <cellStyle name="Untitled13" xfId="51"/>
    <cellStyle name="Untitled2" xfId="52"/>
    <cellStyle name="Untitled3" xfId="53"/>
    <cellStyle name="Untitled4" xfId="54"/>
    <cellStyle name="Untitled5" xfId="55"/>
    <cellStyle name="Untitled6" xfId="56"/>
    <cellStyle name="Untitled7" xfId="57"/>
    <cellStyle name="Untitled8" xfId="58"/>
    <cellStyle name="Untitled9" xfId="59"/>
  </cellStyles>
  <dxfs count="29">
    <dxf>
      <fill>
        <patternFill patternType="solid">
          <fgColor rgb="FF666666"/>
        </patternFill>
      </fill>
    </dxf>
    <dxf>
      <fill>
        <patternFill patternType="solid">
          <fgColor rgb="FF808080"/>
        </patternFill>
      </fill>
    </dxf>
    <dxf>
      <fill>
        <patternFill patternType="solid">
          <fgColor rgb="00FFFFFF"/>
        </patternFill>
      </fill>
    </dxf>
    <dxf>
      <fill>
        <patternFill patternType="solid">
          <fgColor rgb="FFF7F7F7"/>
          <bgColor rgb="FF272727"/>
        </patternFill>
      </fill>
    </dxf>
    <dxf>
      <fill>
        <patternFill patternType="solid">
          <fgColor rgb="FF00A933"/>
        </patternFill>
      </fill>
    </dxf>
    <dxf>
      <fill>
        <patternFill patternType="solid">
          <fgColor rgb="FFFF0000"/>
        </patternFill>
      </fill>
    </dxf>
    <dxf>
      <fill>
        <patternFill patternType="solid">
          <fgColor rgb="FFFFFFFF"/>
        </patternFill>
      </fill>
    </dxf>
    <dxf>
      <font>
        <name val="Arial"/>
        <charset val="1"/>
        <family val="2"/>
        <color rgb="FFFFFFFF"/>
      </font>
      <fill>
        <patternFill>
          <bgColor rgb="FFFF0000"/>
        </patternFill>
      </fill>
    </dxf>
    <dxf>
      <font>
        <name val="Arial"/>
        <charset val="1"/>
        <family val="2"/>
        <b val="1"/>
      </font>
    </dxf>
    <dxf>
      <fill>
        <patternFill patternType="solid">
          <fgColor rgb="FFB3320F"/>
        </patternFill>
      </fill>
    </dxf>
    <dxf>
      <fill>
        <patternFill patternType="solid">
          <fgColor rgb="FFC02A0C"/>
        </patternFill>
      </fill>
    </dxf>
    <dxf>
      <fill>
        <patternFill patternType="solid">
          <fgColor rgb="FFC9211E"/>
        </patternFill>
      </fill>
    </dxf>
    <dxf>
      <fill>
        <patternFill patternType="solid">
          <fgColor rgb="FFFFA6A6"/>
        </patternFill>
      </fill>
    </dxf>
    <dxf>
      <fill>
        <patternFill patternType="solid">
          <fgColor rgb="FFFFD7D7"/>
        </patternFill>
      </fill>
    </dxf>
    <dxf>
      <font>
        <name val="Arial"/>
        <charset val="1"/>
        <family val="2"/>
        <color rgb="FF000000"/>
      </font>
      <fill>
        <patternFill>
          <bgColor rgb="FF000000"/>
        </patternFill>
      </fill>
    </dxf>
    <dxf>
      <font>
        <name val="Arial"/>
        <charset val="1"/>
        <family val="2"/>
        <color rgb="FF2A6099"/>
      </font>
      <fill>
        <patternFill>
          <bgColor rgb="FF2A6099"/>
        </patternFill>
      </fill>
    </dxf>
    <dxf>
      <font>
        <name val="Arial"/>
        <charset val="1"/>
        <family val="2"/>
        <color rgb="FFB4C7DC"/>
      </font>
      <fill>
        <patternFill>
          <bgColor rgb="FFB4C7DC"/>
        </patternFill>
      </fill>
    </dxf>
    <dxf>
      <font>
        <name val="Arial"/>
        <charset val="1"/>
        <family val="2"/>
        <color rgb="FFFF0000"/>
      </font>
      <fill>
        <patternFill>
          <bgColor rgb="FFFF0000"/>
        </patternFill>
      </fill>
    </dxf>
    <dxf>
      <font>
        <name val="Arial"/>
        <charset val="1"/>
        <family val="2"/>
        <color rgb="FF00A933"/>
      </font>
      <fill>
        <patternFill>
          <bgColor rgb="FF00A933"/>
        </patternFill>
      </fill>
    </dxf>
    <dxf>
      <font>
        <name val="Arial"/>
        <charset val="1"/>
        <family val="2"/>
        <color rgb="FFFFA6A6"/>
      </font>
      <fill>
        <patternFill>
          <bgColor rgb="FFFFA6A6"/>
        </patternFill>
      </fill>
    </dxf>
    <dxf>
      <font>
        <name val="Arial"/>
        <charset val="1"/>
        <family val="2"/>
        <color rgb="FFAFD095"/>
      </font>
      <fill>
        <patternFill>
          <bgColor rgb="FFAFD095"/>
        </patternFill>
      </fill>
    </dxf>
    <dxf>
      <font>
        <name val="Arial"/>
        <charset val="1"/>
        <family val="2"/>
        <color rgb="FFDDDDDD"/>
      </font>
      <fill>
        <patternFill>
          <bgColor rgb="FFDDDDDD"/>
        </patternFill>
      </fill>
    </dxf>
    <dxf>
      <font>
        <name val="Arial"/>
        <charset val="1"/>
        <family val="2"/>
        <color rgb="FFDEE7E5"/>
      </font>
      <fill>
        <patternFill>
          <bgColor rgb="FFDEE7E5"/>
        </patternFill>
      </fill>
    </dxf>
    <dxf>
      <font>
        <name val="Arial"/>
        <charset val="1"/>
        <family val="2"/>
        <color rgb="FFFFD7D7"/>
      </font>
      <fill>
        <patternFill>
          <bgColor rgb="FFFFD7D7"/>
        </patternFill>
      </fill>
    </dxf>
    <dxf>
      <fill>
        <patternFill patternType="solid">
          <fgColor rgb="FFB2B2B2"/>
        </patternFill>
      </fill>
    </dxf>
    <dxf>
      <fill>
        <patternFill patternType="solid">
          <fgColor rgb="FF5983B0"/>
        </patternFill>
      </fill>
    </dxf>
    <dxf>
      <fill>
        <patternFill patternType="solid">
          <fgColor rgb="FF729FCF"/>
        </patternFill>
      </fill>
    </dxf>
    <dxf>
      <fill>
        <patternFill patternType="solid">
          <fgColor rgb="FFB4C7DC"/>
        </patternFill>
      </fill>
    </dxf>
    <dxf>
      <fill>
        <patternFill patternType="solid">
          <fgColor rgb="FFDEE6EF"/>
        </patternFill>
      </fill>
    </dxf>
  </dxfs>
  <colors>
    <indexedColors>
      <rgbColor rgb="FF000000"/>
      <rgbColor rgb="FFFFFFFF"/>
      <rgbColor rgb="FFFF0000"/>
      <rgbColor rgb="FF00FF00"/>
      <rgbColor rgb="FF0000FF"/>
      <rgbColor rgb="FFBBE33D"/>
      <rgbColor rgb="FFFF00FF"/>
      <rgbColor rgb="FF00FFFF"/>
      <rgbColor rgb="FF800000"/>
      <rgbColor rgb="FF008000"/>
      <rgbColor rgb="FF000080"/>
      <rgbColor rgb="FF808000"/>
      <rgbColor rgb="FF800080"/>
      <rgbColor rgb="FF008080"/>
      <rgbColor rgb="FFCCCCCC"/>
      <rgbColor rgb="FF808080"/>
      <rgbColor rgb="FF729FCF"/>
      <rgbColor rgb="FFA1467E"/>
      <rgbColor rgb="FFE0C2CD"/>
      <rgbColor rgb="FFDEE6EF"/>
      <rgbColor rgb="FF660066"/>
      <rgbColor rgb="FFFF8080"/>
      <rgbColor rgb="FF2A6099"/>
      <rgbColor rgb="FFB4C7DC"/>
      <rgbColor rgb="FF000080"/>
      <rgbColor rgb="FFFF00FF"/>
      <rgbColor rgb="FFFFFF00"/>
      <rgbColor rgb="FF00FFFF"/>
      <rgbColor rgb="FF800080"/>
      <rgbColor rgb="FF800000"/>
      <rgbColor rgb="FF008080"/>
      <rgbColor rgb="FF0000FF"/>
      <rgbColor rgb="FF00CCFF"/>
      <rgbColor rgb="FFDDDDDD"/>
      <rgbColor rgb="FFDEE7E5"/>
      <rgbColor rgb="FFE8F2A1"/>
      <rgbColor rgb="FFAFD095"/>
      <rgbColor rgb="FFFFA6A6"/>
      <rgbColor rgb="FFB2B2B2"/>
      <rgbColor rgb="FFFFD7D7"/>
      <rgbColor rgb="FF5983B0"/>
      <rgbColor rgb="FF33CCCC"/>
      <rgbColor rgb="FF81D41A"/>
      <rgbColor rgb="FFFFB66C"/>
      <rgbColor rgb="FFFF8000"/>
      <rgbColor rgb="FFFF6600"/>
      <rgbColor rgb="FF666666"/>
      <rgbColor rgb="FF99999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Relationship Id="rId22"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5" createdVersion="3">
  <cacheSource type="worksheet">
    <worksheetSource ref="A20:DY55" sheet="M5"/>
  </cacheSource>
  <cacheFields count="129">
    <cacheField name="A" numFmtId="0">
      <sharedItems containsString="0" containsBlank="1" count="1">
        <m/>
      </sharedItems>
    </cacheField>
    <cacheField name="Item Type" numFmtId="0">
      <sharedItems containsMixedTypes="1" containsNumber="1" containsInteger="1" minValue="0" maxValue="0" count="5">
        <n v="0"/>
        <s v="Action"/>
        <s v="Project"/>
        <s v="Stream"/>
        <s v="Venture"/>
      </sharedItems>
    </cacheField>
    <cacheField name="Lvl" numFmtId="0">
      <sharedItems containsSemiMixedTypes="0" containsString="0" containsNumber="1" containsInteger="1" minValue="10000000" maxValue="90000000" count="5">
        <n v="10000000"/>
        <n v="12100000"/>
        <n v="12110000"/>
        <n v="12111000"/>
        <n v="90000000"/>
      </sharedItems>
    </cacheField>
    <cacheField name="Sort" numFmtId="0">
      <sharedItems count="2">
        <s v="0"/>
        <s v="2"/>
      </sharedItems>
    </cacheField>
    <cacheField name="Self" numFmtId="0">
      <sharedItems count="6">
        <s v=""/>
        <s v="Action        Some Action for the StudySTE"/>
        <s v="ProjectSome Study Project for sub-cat 1STE"/>
        <s v="ProjectSome Study Project for sub-cat 2STE"/>
        <s v="Stream    Some Stream of the projectSTE"/>
        <s v="VNT"/>
      </sharedItems>
    </cacheField>
    <cacheField name="Self Pty" numFmtId="0">
      <sharedItems containsMixedTypes="1" containsNumber="1" containsInteger="1" minValue="0" maxValue="45066" count="5">
        <n v="0"/>
        <n v="44927"/>
        <n v="45020"/>
        <n v="45066"/>
        <s v=""/>
      </sharedItems>
    </cacheField>
    <cacheField name="Self+1" numFmtId="0">
      <sharedItems containsMixedTypes="1" containsNumber="1" containsInteger="1" minValue="0" maxValue="0" count="5">
        <n v="0"/>
        <s v="ProjectSome Study Project for sub-cat 1STE"/>
        <s v="ProjectSome Study Project for sub-cat 2STE"/>
        <s v="Stream    Some Stream of the projectSTE"/>
        <s v="VNT"/>
      </sharedItems>
    </cacheField>
    <cacheField name="Self+1 Pty" numFmtId="0">
      <sharedItems containsDate="1" containsMixedTypes="1" minDate="1899-12-30T00:00:00" maxDate="2023-04-04T00:00:00" count="4">
        <d v="1899-12-30T00:00:00"/>
        <d v="2023-01-01T00:00:00"/>
        <d v="2023-04-04T00:00:00"/>
        <s v=""/>
      </sharedItems>
    </cacheField>
    <cacheField name="Self+2" numFmtId="0">
      <sharedItems containsMixedTypes="1" containsNumber="1" containsInteger="1" minValue="0" maxValue="0" count="4">
        <n v="0"/>
        <s v=""/>
        <s v="ProjectSome Study Project for sub-cat 1STE"/>
        <s v="VNT"/>
      </sharedItems>
    </cacheField>
    <cacheField name="Self+2 Pty" numFmtId="0">
      <sharedItems containsDate="1" containsMixedTypes="1" minDate="1899-12-30T00:00:00" maxDate="2023-04-04T00:00:00" count="3">
        <d v="1899-12-30T00:00:00"/>
        <d v="2023-04-04T00:00:00"/>
        <s v=""/>
      </sharedItems>
    </cacheField>
    <cacheField name="Self+3" numFmtId="0">
      <sharedItems containsMixedTypes="1" containsNumber="1" containsInteger="1" minValue="0" maxValue="0" count="2">
        <n v="0"/>
        <s v="VNT"/>
      </sharedItems>
    </cacheField>
    <cacheField name="Report Status" numFmtId="0">
      <sharedItems count="1">
        <s v="Ongoing"/>
      </sharedItems>
    </cacheField>
    <cacheField name="Status" numFmtId="0">
      <sharedItems containsMixedTypes="1" containsNumber="1" containsInteger="1" minValue="0" maxValue="0" count="3">
        <n v="0"/>
        <s v="Overdue"/>
        <s v="Venture"/>
      </sharedItems>
    </cacheField>
    <cacheField name="Tasks Open" numFmtId="0">
      <sharedItems containsSemiMixedTypes="0" containsString="0" containsNumber="1" containsInteger="1" minValue="0" maxValue="2" count="2">
        <n v="0"/>
        <n v="2"/>
      </sharedItems>
    </cacheField>
    <cacheField name="Tasks Started" numFmtId="0">
      <sharedItems containsSemiMixedTypes="0" containsString="0" containsNumber="1" containsInteger="1" minValue="0" maxValue="1" count="2">
        <n v="0"/>
        <n v="1"/>
      </sharedItems>
    </cacheField>
    <cacheField name="Tasks Pending" numFmtId="0">
      <sharedItems containsSemiMixedTypes="0" containsString="0" containsNumber="1" containsInteger="1" minValue="0" maxValue="1" count="2">
        <n v="0"/>
        <n v="1"/>
      </sharedItems>
    </cacheField>
    <cacheField name="Tasks Urgent" numFmtId="0">
      <sharedItems containsSemiMixedTypes="0" containsString="0" containsNumber="1" containsInteger="1" minValue="0" maxValue="1" count="2">
        <n v="0"/>
        <n v="1"/>
      </sharedItems>
    </cacheField>
    <cacheField name="Tasks Done" numFmtId="0">
      <sharedItems containsSemiMixedTypes="0" containsString="0" containsNumber="1" containsInteger="1" minValue="0" maxValue="1" count="2">
        <n v="0"/>
        <n v="1"/>
      </sharedItems>
    </cacheField>
    <cacheField name="Tasks Total" numFmtId="0">
      <sharedItems containsSemiMixedTypes="0" containsString="0" containsNumber="1" containsInteger="1" minValue="0" maxValue="6" count="2">
        <n v="0"/>
        <n v="6"/>
      </sharedItems>
    </cacheField>
    <cacheField name="Target Drill / Action Effort" numFmtId="0">
      <sharedItems containsSemiMixedTypes="0" containsString="0" containsNumber="1" containsInteger="1" minValue="0" maxValue="3" count="2">
        <n v="0"/>
        <n v="3"/>
      </sharedItems>
    </cacheField>
    <cacheField name="Target Sub / Stream Effort" numFmtId="0">
      <sharedItems containsSemiMixedTypes="0" containsString="0" containsNumber="1" containsInteger="1" minValue="0" maxValue="5" count="3">
        <n v="0"/>
        <n v="3"/>
        <n v="5"/>
      </sharedItems>
    </cacheField>
    <cacheField name="Target Routine / Project Effort" numFmtId="0">
      <sharedItems containsSemiMixedTypes="0" containsString="0" containsNumber="1" containsInteger="1" minValue="0" maxValue="6" count="3">
        <n v="0"/>
        <n v="3"/>
        <n v="6"/>
      </sharedItems>
    </cacheField>
    <cacheField name="Target Venture Effort" numFmtId="0">
      <sharedItems containsSemiMixedTypes="0" containsString="0" containsNumber="1" containsInteger="1" minValue="0" maxValue="9" count="2">
        <n v="0"/>
        <n v="9"/>
      </sharedItems>
    </cacheField>
    <cacheField name="Column X" numFmtId="0">
      <sharedItems containsSemiMixedTypes="0" containsString="0" containsNumber="1" minValue="0" maxValue="2.5" count="2">
        <n v="0"/>
        <n v="2.5"/>
      </sharedItems>
    </cacheField>
    <cacheField name="Actual Sub / Stream Effort" numFmtId="0">
      <sharedItems containsSemiMixedTypes="0" containsString="0" containsNumber="1" minValue="0" maxValue="4" count="3">
        <n v="0"/>
        <n v="2.5"/>
        <n v="4"/>
      </sharedItems>
    </cacheField>
    <cacheField name="Actual Routine / Project Effort" numFmtId="0">
      <sharedItems containsSemiMixedTypes="0" containsString="0" containsNumber="1" minValue="0" maxValue="4.5" count="3">
        <n v="0"/>
        <n v="2.5"/>
        <n v="4.5"/>
      </sharedItems>
    </cacheField>
    <cacheField name="Actual Venture Effort" numFmtId="0">
      <sharedItems containsSemiMixedTypes="0" containsString="0" containsNumber="1" containsInteger="1" minValue="0" maxValue="7" count="2">
        <n v="0"/>
        <n v="7"/>
      </sharedItems>
    </cacheField>
    <cacheField name="Key" numFmtId="0">
      <sharedItems count="6">
        <s v=""/>
        <s v="Action        Some Action for the StudySTE"/>
        <s v="ProjectSome Study Project for sub-cat 1STE"/>
        <s v="ProjectSome Study Project for sub-cat 2STE"/>
        <s v="Stream    Some Stream of the projectSTE"/>
        <s v="VNT"/>
      </sharedItems>
    </cacheField>
    <cacheField name="Sort2" numFmtId="0">
      <sharedItems count="8">
        <s v="-  0N"/>
        <s v="-  2N44927ProjectSome Study Project for sub-cat 2STE"/>
        <s v="-  2N44927ProjectSome Study Project for sub-cat 2STE45020Stream    Some Stream of the projectSTE"/>
        <s v="-  2N45020ProjectSome Study Project for sub-cat 1STE"/>
        <s v="-  2N45020ProjectSome Study Project for sub-cat 1STE45020Stream    Some Stream of the projectSTE"/>
        <s v="-  2N45020ProjectSome Study Project for sub-cat 1STE45020Stream    Some Stream of the projectSTE45020Action        Some Action for the StudySTE"/>
        <s v="-  2N45020ProjectSome Study Project for sub-cat 1STE45020Stream    Some Stream of the projectSTE45066Action        Some Action for the StudySTE"/>
        <s v="-  9Z"/>
      </sharedItems>
    </cacheField>
    <cacheField name="Active?" numFmtId="0">
      <sharedItems count="1">
        <s v="Y"/>
      </sharedItems>
    </cacheField>
    <cacheField name="Rep ?" numFmtId="0">
      <sharedItems count="1">
        <s v="N"/>
      </sharedItems>
    </cacheField>
    <cacheField name="Force Rep?" numFmtId="0">
      <sharedItems containsString="0" containsBlank="1" count="1">
        <m/>
      </sharedItems>
    </cacheField>
    <cacheField name="Tag" numFmtId="0">
      <sharedItems containsString="0" containsBlank="1" count="1">
        <m/>
      </sharedItems>
    </cacheField>
    <cacheField name="Planning Type" numFmtId="0">
      <sharedItems containsBlank="1" count="5">
        <s v="Action"/>
        <s v="Project"/>
        <s v="Stream"/>
        <s v="Venture"/>
        <m/>
      </sharedItems>
    </cacheField>
    <cacheField name="Name" numFmtId="0">
      <sharedItems containsBlank="1" count="6">
        <s v="        Some Action for the Study"/>
        <s v="    Some Stream of the project"/>
        <s v="Some Study Project for sub-cat 1"/>
        <s v="Some Study Project for sub-cat 2"/>
        <s v="VNT"/>
        <m/>
      </sharedItems>
    </cacheField>
    <cacheField name="Overview" numFmtId="0">
      <sharedItems containsBlank="1" count="5">
        <s v="Represents the entire Venture.  An overview is presented in below Sub  =1.01 Maintain Context."/>
        <s v="Some Action Overview"/>
        <s v="Some Project Overview"/>
        <s v="Some Stream Overview"/>
        <m/>
      </sharedItems>
    </cacheField>
    <cacheField name="Start Date" numFmtId="0">
      <sharedItems containsNonDate="0" containsDate="1" containsString="0" containsBlank="1" minDate="2023-01-01T00:00:00" maxDate="2023-05-20T00:00:00" count="4">
        <d v="2023-01-01T00:00:00"/>
        <d v="2023-04-04T00:00:00"/>
        <d v="2023-05-20T00:00:00"/>
        <m/>
      </sharedItems>
    </cacheField>
    <cacheField name="End Date" numFmtId="0">
      <sharedItems containsNonDate="0" containsDate="1" containsString="0" containsBlank="1" minDate="2023-05-30T00:00:00" maxDate="2023-12-31T00:00:00" count="5">
        <d v="2023-05-30T00:00:00"/>
        <d v="2023-06-30T00:00:00"/>
        <d v="2023-07-28T00:00:00"/>
        <d v="2023-12-31T00:00:00"/>
        <m/>
      </sharedItems>
    </cacheField>
    <cacheField name="Hold Date" numFmtId="0">
      <sharedItems containsString="0" containsBlank="1" count="1">
        <m/>
      </sharedItems>
    </cacheField>
    <cacheField name="Complete Date" numFmtId="0">
      <sharedItems containsString="0" containsBlank="1" count="1">
        <m/>
      </sharedItems>
    </cacheField>
    <cacheField name="Target Effort" numFmtId="0">
      <sharedItems containsString="0" containsBlank="1" containsNumber="1" containsInteger="1" minValue="1" maxValue="3" count="4">
        <n v="1"/>
        <n v="2"/>
        <n v="3"/>
        <m/>
      </sharedItems>
    </cacheField>
    <cacheField name="Actual Effort" numFmtId="0">
      <sharedItems containsString="0" containsBlank="1" containsNumber="1" minValue="0.5" maxValue="2.5" count="4">
        <n v="0.5"/>
        <n v="1.5"/>
        <n v="2.5"/>
        <m/>
      </sharedItems>
    </cacheField>
    <cacheField name="Whom By" numFmtId="0">
      <sharedItems containsBlank="1" count="2">
        <s v="SE"/>
        <m/>
      </sharedItems>
    </cacheField>
    <cacheField name="Whom For" numFmtId="0">
      <sharedItems containsBlank="1" count="2">
        <s v="STE"/>
        <m/>
      </sharedItems>
    </cacheField>
    <cacheField name="Whom For2" numFmtId="0">
      <sharedItems containsBlank="1" count="5">
        <s v="ProjectSome Study Project for sub-cat 1STE"/>
        <s v="ProjectSome Study Project for sub-cat 2STE"/>
        <s v="Stream    Some Stream of the projectSTE"/>
        <s v="VNT"/>
        <m/>
      </sharedItems>
    </cacheField>
    <cacheField name="Goal" numFmtId="0">
      <sharedItems containsBlank="1" count="4">
        <s v="gro"/>
        <s v="r&amp;d"/>
        <s v="sec"/>
        <m/>
      </sharedItems>
    </cacheField>
    <cacheField name="Sub-Goal" numFmtId="0">
      <sharedItems containsBlank="1" count="3">
        <s v="gro 2"/>
        <s v="sec 1"/>
        <m/>
      </sharedItems>
    </cacheField>
    <cacheField name="Target Revenue Increase" numFmtId="0">
      <sharedItems containsString="0" containsBlank="1" count="1">
        <m/>
      </sharedItems>
    </cacheField>
    <cacheField name="Target Cost Savings" numFmtId="0">
      <sharedItems containsString="0" containsBlank="1" count="1">
        <m/>
      </sharedItems>
    </cacheField>
    <cacheField name="Target Risk Avoidance" numFmtId="0">
      <sharedItems containsString="0" containsBlank="1" count="1">
        <m/>
      </sharedItems>
    </cacheField>
    <cacheField name="Target Project Cost" numFmtId="0">
      <sharedItems containsString="0" containsBlank="1" count="1">
        <m/>
      </sharedItems>
    </cacheField>
    <cacheField name="Actual Project Cost" numFmtId="0">
      <sharedItems containsString="0" containsBlank="1" count="1">
        <m/>
      </sharedItems>
    </cacheField>
    <cacheField name="Reference" numFmtId="0">
      <sharedItems containsString="0" containsBlank="1" count="1">
        <m/>
      </sharedItems>
    </cacheField>
    <cacheField name="Notes" numFmtId="0">
      <sharedItems containsBlank="1" count="2">
        <s v="01-01-22: init"/>
        <m/>
      </sharedItems>
    </cacheField>
    <cacheField name="Whom By2" numFmtId="0">
      <sharedItems containsBlank="1" count="2">
        <s v=". ss&#10;/ ss&#10;x ll&#10;~ hh&#10;! uu&#10;. Task"/>
        <m/>
      </sharedItems>
    </cacheField>
    <cacheField name="Tasks Left" numFmtId="0">
      <sharedItems containsSemiMixedTypes="0" containsString="0" containsNumber="1" containsInteger="1" minValue="0" maxValue="5" count="2">
        <n v="0"/>
        <n v="5"/>
      </sharedItems>
    </cacheField>
    <cacheField name="Task Progress" numFmtId="0">
      <sharedItems containsSemiMixedTypes="0" containsString="0" containsNumber="1" minValue="0.25" maxValue="1" count="2">
        <n v="0.25"/>
        <n v="1"/>
      </sharedItems>
    </cacheField>
    <cacheField name="Total Target Effort" numFmtId="0">
      <sharedItems containsMixedTypes="1" containsNumber="1" containsInteger="1" minValue="0" maxValue="9" count="6">
        <n v="0"/>
        <n v="3"/>
        <n v="5"/>
        <n v="6"/>
        <n v="9"/>
        <s v=""/>
      </sharedItems>
    </cacheField>
    <cacheField name="Total Actual Effort" numFmtId="0">
      <sharedItems containsMixedTypes="1" containsNumber="1" minValue="0" maxValue="7" count="6">
        <n v="0"/>
        <n v="2.5"/>
        <n v="4"/>
        <n v="4.5"/>
        <n v="7"/>
        <s v=""/>
      </sharedItems>
    </cacheField>
    <cacheField name="Effort %" numFmtId="0">
      <sharedItems containsMixedTypes="1" containsNumber="1" minValue="0" maxValue="0.833333333333333" count="6">
        <n v="0"/>
        <n v="0.75"/>
        <n v="0.777777777777778"/>
        <n v="0.8"/>
        <n v="0.833333333333333"/>
        <s v=""/>
      </sharedItems>
    </cacheField>
    <cacheField name="Column BI" numFmtId="0">
      <sharedItems count="2">
        <s v=""/>
        <s v="Red"/>
      </sharedItems>
    </cacheField>
    <cacheField name="Column BJ" numFmtId="0">
      <sharedItems count="2">
        <s v=""/>
        <s v="Red"/>
      </sharedItems>
    </cacheField>
    <cacheField name="Column BK" numFmtId="0">
      <sharedItems count="2">
        <s v=""/>
        <s v="Red"/>
      </sharedItems>
    </cacheField>
    <cacheField name="Column BL" numFmtId="0">
      <sharedItems count="2">
        <s v=""/>
        <s v="Red"/>
      </sharedItems>
    </cacheField>
    <cacheField name="Column BM" numFmtId="0">
      <sharedItems count="2">
        <s v=""/>
        <s v="Red"/>
      </sharedItems>
    </cacheField>
    <cacheField name="Column BN" numFmtId="0">
      <sharedItems count="2">
        <s v=""/>
        <s v="Red"/>
      </sharedItems>
    </cacheField>
    <cacheField name="Column BO" numFmtId="0">
      <sharedItems count="2">
        <s v=""/>
        <s v="Red"/>
      </sharedItems>
    </cacheField>
    <cacheField name="Column BP" numFmtId="0">
      <sharedItems count="4">
        <s v=""/>
        <s v="LightRed"/>
        <s v="Red"/>
        <s v="SoftRed"/>
      </sharedItems>
    </cacheField>
    <cacheField name="Column BQ" numFmtId="0">
      <sharedItems count="4">
        <s v=""/>
        <s v="LightRed"/>
        <s v="Red"/>
        <s v="SoftRed"/>
      </sharedItems>
    </cacheField>
    <cacheField name="Column BR" numFmtId="0">
      <sharedItems count="4">
        <s v=""/>
        <s v="LightRed"/>
        <s v="Red"/>
        <s v="SoftRed"/>
      </sharedItems>
    </cacheField>
    <cacheField name="Column BS" numFmtId="0">
      <sharedItems count="4">
        <s v=""/>
        <s v="LightRed"/>
        <s v="Red"/>
        <s v="SoftRed"/>
      </sharedItems>
    </cacheField>
    <cacheField name="Column BT" numFmtId="0">
      <sharedItems count="4">
        <s v=""/>
        <s v="LightRed"/>
        <s v="Red"/>
        <s v="SoftRed"/>
      </sharedItems>
    </cacheField>
    <cacheField name="Column BU" numFmtId="0">
      <sharedItems count="4">
        <s v=""/>
        <s v="LightRed"/>
        <s v="Red"/>
        <s v="SoftRed"/>
      </sharedItems>
    </cacheField>
    <cacheField name="Column BV" numFmtId="0">
      <sharedItems count="4">
        <s v=""/>
        <s v="LightRed"/>
        <s v="Red"/>
        <s v="SoftRed"/>
      </sharedItems>
    </cacheField>
    <cacheField name="Column BW" numFmtId="0">
      <sharedItems count="3">
        <s v=""/>
        <s v="LightRed"/>
        <s v="Red"/>
      </sharedItems>
    </cacheField>
    <cacheField name="Column BX" numFmtId="0">
      <sharedItems count="3">
        <s v=""/>
        <s v="LightRed"/>
        <s v="Red"/>
      </sharedItems>
    </cacheField>
    <cacheField name="Column BY" numFmtId="0">
      <sharedItems count="2">
        <s v=""/>
        <s v="Red"/>
      </sharedItems>
    </cacheField>
    <cacheField name="Column BZ" numFmtId="0">
      <sharedItems count="2">
        <s v=""/>
        <s v="Red"/>
      </sharedItems>
    </cacheField>
    <cacheField name="Column CA" numFmtId="0">
      <sharedItems count="2">
        <s v=""/>
        <s v="Red"/>
      </sharedItems>
    </cacheField>
    <cacheField name="Column CB" numFmtId="0">
      <sharedItems count="2">
        <s v=""/>
        <s v="Red"/>
      </sharedItems>
    </cacheField>
    <cacheField name="Column CC" numFmtId="0">
      <sharedItems count="2">
        <s v=""/>
        <s v="Red"/>
      </sharedItems>
    </cacheField>
    <cacheField name="Column CD" numFmtId="0">
      <sharedItems count="2">
        <s v=""/>
        <s v="Red"/>
      </sharedItems>
    </cacheField>
    <cacheField name="Column CE" numFmtId="0">
      <sharedItems count="2">
        <s v=""/>
        <s v="Red"/>
      </sharedItems>
    </cacheField>
    <cacheField name="Column CF" numFmtId="0">
      <sharedItems count="2">
        <s v=""/>
        <s v="Red"/>
      </sharedItems>
    </cacheField>
    <cacheField name="Column CG" numFmtId="0">
      <sharedItems count="2">
        <s v=""/>
        <s v="Red"/>
      </sharedItems>
    </cacheField>
    <cacheField name="Column CH" numFmtId="0">
      <sharedItems count="2">
        <s v=""/>
        <s v="Red"/>
      </sharedItems>
    </cacheField>
    <cacheField name="Column CI" numFmtId="0">
      <sharedItems count="2">
        <s v=""/>
        <s v="Red"/>
      </sharedItems>
    </cacheField>
    <cacheField name="Column CJ" numFmtId="0">
      <sharedItems count="1">
        <s v=""/>
      </sharedItems>
    </cacheField>
    <cacheField name="Column CK" numFmtId="0">
      <sharedItems count="1">
        <s v=""/>
      </sharedItems>
    </cacheField>
    <cacheField name="Column CL" numFmtId="0">
      <sharedItems count="2">
        <s v=""/>
        <s v="Red"/>
      </sharedItems>
    </cacheField>
    <cacheField name="Column CM" numFmtId="0">
      <sharedItems count="1">
        <s v=""/>
      </sharedItems>
    </cacheField>
    <cacheField name="Column CN" numFmtId="0">
      <sharedItems count="1">
        <s v=""/>
      </sharedItems>
    </cacheField>
    <cacheField name="Column CO" numFmtId="0">
      <sharedItems count="1">
        <s v=""/>
      </sharedItems>
    </cacheField>
    <cacheField name="Column CP" numFmtId="0">
      <sharedItems count="1">
        <s v=""/>
      </sharedItems>
    </cacheField>
    <cacheField name="Column CQ" numFmtId="0">
      <sharedItems count="1">
        <s v=""/>
      </sharedItems>
    </cacheField>
    <cacheField name="Column CR" numFmtId="0">
      <sharedItems count="1">
        <s v=""/>
      </sharedItems>
    </cacheField>
    <cacheField name="Column CS" numFmtId="0">
      <sharedItems count="1">
        <s v=""/>
      </sharedItems>
    </cacheField>
    <cacheField name="Column CT" numFmtId="0">
      <sharedItems count="1">
        <s v=""/>
      </sharedItems>
    </cacheField>
    <cacheField name="Column CU" numFmtId="0">
      <sharedItems count="1">
        <s v=""/>
      </sharedItems>
    </cacheField>
    <cacheField name="Column CV" numFmtId="0">
      <sharedItems count="1">
        <s v=""/>
      </sharedItems>
    </cacheField>
    <cacheField name="Column CW" numFmtId="0">
      <sharedItems count="1">
        <s v=""/>
      </sharedItems>
    </cacheField>
    <cacheField name="Column CX" numFmtId="0">
      <sharedItems count="1">
        <s v=""/>
      </sharedItems>
    </cacheField>
    <cacheField name="Column CY" numFmtId="0">
      <sharedItems count="1">
        <s v=""/>
      </sharedItems>
    </cacheField>
    <cacheField name="Column CZ" numFmtId="0">
      <sharedItems count="1">
        <s v=""/>
      </sharedItems>
    </cacheField>
    <cacheField name="Column DA" numFmtId="0">
      <sharedItems count="1">
        <s v=""/>
      </sharedItems>
    </cacheField>
    <cacheField name="Column DB" numFmtId="0">
      <sharedItems count="1">
        <s v=""/>
      </sharedItems>
    </cacheField>
    <cacheField name="Column DC" numFmtId="0">
      <sharedItems count="1">
        <s v=""/>
      </sharedItems>
    </cacheField>
    <cacheField name="Column DD" numFmtId="0">
      <sharedItems count="1">
        <s v=""/>
      </sharedItems>
    </cacheField>
    <cacheField name="Column DE" numFmtId="0">
      <sharedItems count="1">
        <s v=""/>
      </sharedItems>
    </cacheField>
    <cacheField name="Column DF" numFmtId="0">
      <sharedItems count="1">
        <s v=""/>
      </sharedItems>
    </cacheField>
    <cacheField name="Column DG" numFmtId="0">
      <sharedItems count="1">
        <s v=""/>
      </sharedItems>
    </cacheField>
    <cacheField name="Column DH" numFmtId="0">
      <sharedItems count="1">
        <s v=""/>
      </sharedItems>
    </cacheField>
    <cacheField name="First Note" numFmtId="0">
      <sharedItems count="2">
        <s v=""/>
        <s v="01-01-22: init"/>
      </sharedItems>
    </cacheField>
    <cacheField name="Last Note" numFmtId="0">
      <sharedItems count="2">
        <s v=""/>
        <s v="01-01-22: init"/>
      </sharedItems>
    </cacheField>
    <cacheField name="Last Task" numFmtId="0">
      <sharedItems count="2">
        <s v=""/>
        <s v=". Task"/>
      </sharedItems>
    </cacheField>
    <cacheField name="First Note Date" numFmtId="0">
      <sharedItems containsDate="1" containsMixedTypes="1" minDate="2022-01-01T00:00:00" maxDate="2022-01-01T00:00:00" count="2">
        <d v="2022-01-01T00:00:00"/>
        <s v="none"/>
      </sharedItems>
    </cacheField>
    <cacheField name="Last Note Date" numFmtId="0">
      <sharedItems containsDate="1" containsMixedTypes="1" minDate="2022-01-01T00:00:00" maxDate="2022-01-01T00:00:00" count="2">
        <d v="2022-01-01T00:00:00"/>
        <s v="none"/>
      </sharedItems>
    </cacheField>
    <cacheField name="Created Date" numFmtId="0">
      <sharedItems containsSemiMixedTypes="0" containsNonDate="0" containsDate="1" containsString="0" minDate="1900-01-01T00:00:00" maxDate="2022-01-01T00:00:00" count="2">
        <d v="1900-01-01T00:00:00"/>
        <d v="2022-01-01T00:00:00"/>
      </sharedItems>
    </cacheField>
    <cacheField name="Updated Date" numFmtId="0">
      <sharedItems containsSemiMixedTypes="0" containsNonDate="0" containsDate="1" containsString="0" minDate="1900-01-01T00:00:00" maxDate="2022-01-01T00:00:00" count="2">
        <d v="1900-01-01T00:00:00"/>
        <d v="2022-01-01T00:00:00"/>
      </sharedItems>
    </cacheField>
    <cacheField name="Days since Creation" numFmtId="0">
      <sharedItems containsSemiMixedTypes="0" containsString="0" containsNumber="1" containsInteger="1" minValue="772" maxValue="45332" count="2">
        <n v="772"/>
        <n v="45332"/>
      </sharedItems>
    </cacheField>
    <cacheField name="Days since Update Date" numFmtId="0">
      <sharedItems containsSemiMixedTypes="0" containsString="0" containsNumber="1" containsInteger="1" minValue="772" maxValue="45332" count="2">
        <n v="772"/>
        <n v="45332"/>
      </sharedItems>
    </cacheField>
    <cacheField name="WK since Updated" numFmtId="0">
      <sharedItems containsSemiMixedTypes="0" containsString="0" containsNumber="1" containsInteger="1" minValue="110" maxValue="6476" count="2">
        <n v="110"/>
        <n v="6476"/>
      </sharedItems>
    </cacheField>
    <cacheField name="Days Overdue" numFmtId="0">
      <sharedItems containsSemiMixedTypes="0" containsString="0" containsNumber="1" containsInteger="1" minValue="0" maxValue="258" count="5">
        <n v="0"/>
        <n v="43"/>
        <n v="199"/>
        <n v="227"/>
        <n v="258"/>
      </sharedItems>
    </cacheField>
    <cacheField name="Days to End Date" numFmtId="0">
      <sharedItems containsSemiMixedTypes="0" containsString="0" containsNumber="1" containsInteger="1" minValue="-199" maxValue="0" count="3">
        <n v="-199"/>
        <n v="-43"/>
        <n v="0"/>
      </sharedItems>
    </cacheField>
    <cacheField name="Run / Chg" numFmtId="0">
      <sharedItems count="3">
        <s v=""/>
        <s v="Chg"/>
        <s v="Run"/>
      </sharedItems>
    </cacheField>
    <cacheField name="Color" numFmtId="0">
      <sharedItems count="4">
        <s v=""/>
        <s v="LightRed"/>
        <s v="Red"/>
        <s v="SoftRed"/>
      </sharedItems>
    </cacheField>
    <cacheField name="Dynamic Gannt Chart Start" numFmtId="0">
      <sharedItems containsSemiMixedTypes="0" containsNonDate="0" containsDate="1" containsString="0" minDate="2023-01-01T00:00:00" maxDate="2023-05-20T00:00:00" count="3">
        <d v="2023-01-01T00:00:00"/>
        <d v="2023-04-04T00:00:00"/>
        <d v="2023-05-20T00:00:00"/>
      </sharedItems>
    </cacheField>
    <cacheField name="Dynamic Cantt Chart End" numFmtId="0">
      <sharedItems containsSemiMixedTypes="0" containsNonDate="0" containsDate="1" containsString="0" minDate="2023-05-30T00:00:00" maxDate="2024-12-31T00:00:00" count="5">
        <d v="2023-05-30T00:00:00"/>
        <d v="2023-06-30T00:00:00"/>
        <d v="2023-07-28T00:00:00"/>
        <d v="2023-12-31T00:00:00"/>
        <d v="2024-12-31T00:00:00"/>
      </sharedItems>
    </cacheField>
    <cacheField name="Z" numFmtId="0">
      <sharedItems count="1">
        <s v="x"/>
      </sharedItems>
    </cacheField>
  </cacheFields>
</pivotCacheDefinition>
</file>

<file path=xl/pivotCache/pivotCacheRecords1.xml><?xml version="1.0" encoding="utf-8"?>
<pivotCacheRecords xmlns="http://schemas.openxmlformats.org/spreadsheetml/2006/main" xmlns:r="http://schemas.openxmlformats.org/officeDocument/2006/relationships" count="35">
  <r>
    <x v="0"/>
    <x v="4"/>
    <x v="0"/>
    <x v="0"/>
    <x v="5"/>
    <x v="0"/>
    <x v="4"/>
    <x v="0"/>
    <x v="0"/>
    <x v="0"/>
    <x v="0"/>
    <x v="0"/>
    <x v="2"/>
    <x v="1"/>
    <x v="1"/>
    <x v="1"/>
    <x v="1"/>
    <x v="1"/>
    <x v="1"/>
    <x v="0"/>
    <x v="0"/>
    <x v="0"/>
    <x v="1"/>
    <x v="0"/>
    <x v="0"/>
    <x v="0"/>
    <x v="1"/>
    <x v="5"/>
    <x v="0"/>
    <x v="0"/>
    <x v="0"/>
    <x v="0"/>
    <x v="0"/>
    <x v="3"/>
    <x v="4"/>
    <x v="0"/>
    <x v="0"/>
    <x v="3"/>
    <x v="0"/>
    <x v="0"/>
    <x v="3"/>
    <x v="3"/>
    <x v="0"/>
    <x v="0"/>
    <x v="3"/>
    <x v="3"/>
    <x v="2"/>
    <x v="0"/>
    <x v="0"/>
    <x v="0"/>
    <x v="0"/>
    <x v="0"/>
    <x v="0"/>
    <x v="0"/>
    <x v="0"/>
    <x v="1"/>
    <x v="0"/>
    <x v="4"/>
    <x v="4"/>
    <x v="2"/>
    <x v="0"/>
    <x v="0"/>
    <x v="0"/>
    <x v="0"/>
    <x v="0"/>
    <x v="0"/>
    <x v="0"/>
    <x v="0"/>
    <x v="0"/>
    <x v="0"/>
    <x v="0"/>
    <x v="0"/>
    <x v="0"/>
    <x v="0"/>
    <x v="0"/>
    <x v="0"/>
    <x v="0"/>
    <x v="0"/>
    <x v="0"/>
    <x v="0"/>
    <x v="0"/>
    <x v="0"/>
    <x v="0"/>
    <x v="0"/>
    <x v="0"/>
    <x v="0"/>
    <x v="0"/>
    <x v="0"/>
    <x v="0"/>
    <x v="1"/>
    <x v="0"/>
    <x v="0"/>
    <x v="0"/>
    <x v="0"/>
    <x v="0"/>
    <x v="0"/>
    <x v="0"/>
    <x v="0"/>
    <x v="0"/>
    <x v="0"/>
    <x v="0"/>
    <x v="0"/>
    <x v="0"/>
    <x v="0"/>
    <x v="0"/>
    <x v="0"/>
    <x v="0"/>
    <x v="0"/>
    <x v="0"/>
    <x v="0"/>
    <x v="0"/>
    <x v="0"/>
    <x v="1"/>
    <x v="1"/>
    <x v="1"/>
    <x v="0"/>
    <x v="0"/>
    <x v="1"/>
    <x v="1"/>
    <x v="0"/>
    <x v="0"/>
    <x v="0"/>
    <x v="0"/>
    <x v="2"/>
    <x v="2"/>
    <x v="2"/>
    <x v="0"/>
    <x v="3"/>
    <x v="0"/>
  </r>
  <r>
    <x v="0"/>
    <x v="2"/>
    <x v="1"/>
    <x v="1"/>
    <x v="2"/>
    <x v="2"/>
    <x v="4"/>
    <x v="0"/>
    <x v="3"/>
    <x v="0"/>
    <x v="1"/>
    <x v="0"/>
    <x v="1"/>
    <x v="0"/>
    <x v="0"/>
    <x v="0"/>
    <x v="0"/>
    <x v="0"/>
    <x v="0"/>
    <x v="0"/>
    <x v="0"/>
    <x v="2"/>
    <x v="0"/>
    <x v="0"/>
    <x v="0"/>
    <x v="2"/>
    <x v="0"/>
    <x v="2"/>
    <x v="3"/>
    <x v="0"/>
    <x v="0"/>
    <x v="0"/>
    <x v="0"/>
    <x v="1"/>
    <x v="2"/>
    <x v="2"/>
    <x v="1"/>
    <x v="2"/>
    <x v="0"/>
    <x v="0"/>
    <x v="0"/>
    <x v="0"/>
    <x v="0"/>
    <x v="0"/>
    <x v="3"/>
    <x v="0"/>
    <x v="0"/>
    <x v="0"/>
    <x v="0"/>
    <x v="0"/>
    <x v="0"/>
    <x v="0"/>
    <x v="0"/>
    <x v="0"/>
    <x v="1"/>
    <x v="0"/>
    <x v="1"/>
    <x v="3"/>
    <x v="3"/>
    <x v="1"/>
    <x v="0"/>
    <x v="0"/>
    <x v="0"/>
    <x v="0"/>
    <x v="0"/>
    <x v="0"/>
    <x v="0"/>
    <x v="2"/>
    <x v="2"/>
    <x v="2"/>
    <x v="2"/>
    <x v="2"/>
    <x v="2"/>
    <x v="2"/>
    <x v="2"/>
    <x v="2"/>
    <x v="0"/>
    <x v="0"/>
    <x v="0"/>
    <x v="0"/>
    <x v="0"/>
    <x v="0"/>
    <x v="0"/>
    <x v="0"/>
    <x v="0"/>
    <x v="0"/>
    <x v="0"/>
    <x v="0"/>
    <x v="0"/>
    <x v="0"/>
    <x v="0"/>
    <x v="0"/>
    <x v="0"/>
    <x v="0"/>
    <x v="0"/>
    <x v="0"/>
    <x v="0"/>
    <x v="0"/>
    <x v="0"/>
    <x v="0"/>
    <x v="0"/>
    <x v="0"/>
    <x v="0"/>
    <x v="0"/>
    <x v="0"/>
    <x v="0"/>
    <x v="0"/>
    <x v="0"/>
    <x v="0"/>
    <x v="0"/>
    <x v="0"/>
    <x v="0"/>
    <x v="1"/>
    <x v="1"/>
    <x v="0"/>
    <x v="0"/>
    <x v="0"/>
    <x v="1"/>
    <x v="1"/>
    <x v="0"/>
    <x v="0"/>
    <x v="0"/>
    <x v="2"/>
    <x v="0"/>
    <x v="1"/>
    <x v="2"/>
    <x v="1"/>
    <x v="2"/>
    <x v="0"/>
  </r>
  <r>
    <x v="0"/>
    <x v="3"/>
    <x v="2"/>
    <x v="1"/>
    <x v="4"/>
    <x v="2"/>
    <x v="1"/>
    <x v="2"/>
    <x v="3"/>
    <x v="0"/>
    <x v="1"/>
    <x v="0"/>
    <x v="1"/>
    <x v="0"/>
    <x v="0"/>
    <x v="0"/>
    <x v="0"/>
    <x v="0"/>
    <x v="0"/>
    <x v="0"/>
    <x v="2"/>
    <x v="0"/>
    <x v="0"/>
    <x v="0"/>
    <x v="2"/>
    <x v="0"/>
    <x v="0"/>
    <x v="4"/>
    <x v="4"/>
    <x v="0"/>
    <x v="0"/>
    <x v="0"/>
    <x v="0"/>
    <x v="2"/>
    <x v="1"/>
    <x v="3"/>
    <x v="1"/>
    <x v="1"/>
    <x v="0"/>
    <x v="0"/>
    <x v="1"/>
    <x v="1"/>
    <x v="0"/>
    <x v="0"/>
    <x v="0"/>
    <x v="2"/>
    <x v="1"/>
    <x v="0"/>
    <x v="0"/>
    <x v="0"/>
    <x v="0"/>
    <x v="0"/>
    <x v="0"/>
    <x v="0"/>
    <x v="1"/>
    <x v="0"/>
    <x v="1"/>
    <x v="2"/>
    <x v="2"/>
    <x v="3"/>
    <x v="0"/>
    <x v="0"/>
    <x v="0"/>
    <x v="0"/>
    <x v="0"/>
    <x v="0"/>
    <x v="0"/>
    <x v="1"/>
    <x v="1"/>
    <x v="1"/>
    <x v="1"/>
    <x v="1"/>
    <x v="1"/>
    <x v="1"/>
    <x v="0"/>
    <x v="0"/>
    <x v="0"/>
    <x v="0"/>
    <x v="0"/>
    <x v="0"/>
    <x v="0"/>
    <x v="0"/>
    <x v="0"/>
    <x v="0"/>
    <x v="0"/>
    <x v="0"/>
    <x v="0"/>
    <x v="0"/>
    <x v="0"/>
    <x v="0"/>
    <x v="0"/>
    <x v="0"/>
    <x v="0"/>
    <x v="0"/>
    <x v="0"/>
    <x v="0"/>
    <x v="0"/>
    <x v="0"/>
    <x v="0"/>
    <x v="0"/>
    <x v="0"/>
    <x v="0"/>
    <x v="0"/>
    <x v="0"/>
    <x v="0"/>
    <x v="0"/>
    <x v="0"/>
    <x v="0"/>
    <x v="0"/>
    <x v="0"/>
    <x v="0"/>
    <x v="0"/>
    <x v="1"/>
    <x v="1"/>
    <x v="0"/>
    <x v="0"/>
    <x v="0"/>
    <x v="1"/>
    <x v="1"/>
    <x v="0"/>
    <x v="0"/>
    <x v="0"/>
    <x v="3"/>
    <x v="2"/>
    <x v="1"/>
    <x v="1"/>
    <x v="1"/>
    <x v="1"/>
    <x v="0"/>
  </r>
  <r>
    <x v="0"/>
    <x v="1"/>
    <x v="3"/>
    <x v="1"/>
    <x v="1"/>
    <x v="2"/>
    <x v="3"/>
    <x v="2"/>
    <x v="2"/>
    <x v="1"/>
    <x v="1"/>
    <x v="0"/>
    <x v="1"/>
    <x v="0"/>
    <x v="0"/>
    <x v="0"/>
    <x v="0"/>
    <x v="0"/>
    <x v="0"/>
    <x v="1"/>
    <x v="0"/>
    <x v="0"/>
    <x v="0"/>
    <x v="1"/>
    <x v="0"/>
    <x v="0"/>
    <x v="0"/>
    <x v="1"/>
    <x v="5"/>
    <x v="0"/>
    <x v="0"/>
    <x v="0"/>
    <x v="0"/>
    <x v="0"/>
    <x v="0"/>
    <x v="1"/>
    <x v="1"/>
    <x v="0"/>
    <x v="0"/>
    <x v="0"/>
    <x v="2"/>
    <x v="2"/>
    <x v="0"/>
    <x v="0"/>
    <x v="2"/>
    <x v="2"/>
    <x v="1"/>
    <x v="0"/>
    <x v="0"/>
    <x v="0"/>
    <x v="0"/>
    <x v="0"/>
    <x v="0"/>
    <x v="0"/>
    <x v="1"/>
    <x v="0"/>
    <x v="1"/>
    <x v="1"/>
    <x v="1"/>
    <x v="4"/>
    <x v="0"/>
    <x v="0"/>
    <x v="0"/>
    <x v="0"/>
    <x v="0"/>
    <x v="0"/>
    <x v="0"/>
    <x v="3"/>
    <x v="3"/>
    <x v="3"/>
    <x v="3"/>
    <x v="3"/>
    <x v="0"/>
    <x v="0"/>
    <x v="0"/>
    <x v="0"/>
    <x v="0"/>
    <x v="0"/>
    <x v="0"/>
    <x v="0"/>
    <x v="0"/>
    <x v="0"/>
    <x v="0"/>
    <x v="0"/>
    <x v="0"/>
    <x v="0"/>
    <x v="0"/>
    <x v="0"/>
    <x v="0"/>
    <x v="0"/>
    <x v="0"/>
    <x v="0"/>
    <x v="0"/>
    <x v="0"/>
    <x v="0"/>
    <x v="0"/>
    <x v="0"/>
    <x v="0"/>
    <x v="0"/>
    <x v="0"/>
    <x v="0"/>
    <x v="0"/>
    <x v="0"/>
    <x v="0"/>
    <x v="0"/>
    <x v="0"/>
    <x v="0"/>
    <x v="0"/>
    <x v="0"/>
    <x v="0"/>
    <x v="0"/>
    <x v="0"/>
    <x v="1"/>
    <x v="1"/>
    <x v="0"/>
    <x v="0"/>
    <x v="0"/>
    <x v="1"/>
    <x v="1"/>
    <x v="0"/>
    <x v="0"/>
    <x v="0"/>
    <x v="4"/>
    <x v="2"/>
    <x v="1"/>
    <x v="3"/>
    <x v="1"/>
    <x v="0"/>
    <x v="0"/>
  </r>
  <r>
    <x v="0"/>
    <x v="1"/>
    <x v="3"/>
    <x v="1"/>
    <x v="1"/>
    <x v="3"/>
    <x v="3"/>
    <x v="2"/>
    <x v="2"/>
    <x v="1"/>
    <x v="1"/>
    <x v="0"/>
    <x v="1"/>
    <x v="0"/>
    <x v="0"/>
    <x v="0"/>
    <x v="0"/>
    <x v="0"/>
    <x v="0"/>
    <x v="0"/>
    <x v="0"/>
    <x v="0"/>
    <x v="0"/>
    <x v="0"/>
    <x v="0"/>
    <x v="0"/>
    <x v="0"/>
    <x v="1"/>
    <x v="6"/>
    <x v="0"/>
    <x v="0"/>
    <x v="0"/>
    <x v="0"/>
    <x v="0"/>
    <x v="0"/>
    <x v="1"/>
    <x v="2"/>
    <x v="1"/>
    <x v="0"/>
    <x v="0"/>
    <x v="3"/>
    <x v="3"/>
    <x v="0"/>
    <x v="0"/>
    <x v="2"/>
    <x v="2"/>
    <x v="1"/>
    <x v="0"/>
    <x v="0"/>
    <x v="0"/>
    <x v="0"/>
    <x v="0"/>
    <x v="0"/>
    <x v="0"/>
    <x v="1"/>
    <x v="0"/>
    <x v="1"/>
    <x v="0"/>
    <x v="0"/>
    <x v="0"/>
    <x v="0"/>
    <x v="0"/>
    <x v="0"/>
    <x v="0"/>
    <x v="0"/>
    <x v="0"/>
    <x v="0"/>
    <x v="0"/>
    <x v="0"/>
    <x v="0"/>
    <x v="3"/>
    <x v="3"/>
    <x v="3"/>
    <x v="3"/>
    <x v="0"/>
    <x v="0"/>
    <x v="0"/>
    <x v="0"/>
    <x v="0"/>
    <x v="0"/>
    <x v="0"/>
    <x v="0"/>
    <x v="0"/>
    <x v="0"/>
    <x v="0"/>
    <x v="0"/>
    <x v="0"/>
    <x v="0"/>
    <x v="0"/>
    <x v="0"/>
    <x v="0"/>
    <x v="0"/>
    <x v="0"/>
    <x v="0"/>
    <x v="0"/>
    <x v="0"/>
    <x v="0"/>
    <x v="0"/>
    <x v="0"/>
    <x v="0"/>
    <x v="0"/>
    <x v="0"/>
    <x v="0"/>
    <x v="0"/>
    <x v="0"/>
    <x v="0"/>
    <x v="0"/>
    <x v="0"/>
    <x v="0"/>
    <x v="0"/>
    <x v="0"/>
    <x v="0"/>
    <x v="1"/>
    <x v="1"/>
    <x v="0"/>
    <x v="0"/>
    <x v="0"/>
    <x v="1"/>
    <x v="1"/>
    <x v="0"/>
    <x v="0"/>
    <x v="0"/>
    <x v="3"/>
    <x v="2"/>
    <x v="1"/>
    <x v="3"/>
    <x v="2"/>
    <x v="1"/>
    <x v="0"/>
  </r>
  <r>
    <x v="0"/>
    <x v="2"/>
    <x v="1"/>
    <x v="1"/>
    <x v="3"/>
    <x v="1"/>
    <x v="4"/>
    <x v="0"/>
    <x v="3"/>
    <x v="0"/>
    <x v="1"/>
    <x v="0"/>
    <x v="1"/>
    <x v="0"/>
    <x v="0"/>
    <x v="0"/>
    <x v="0"/>
    <x v="0"/>
    <x v="0"/>
    <x v="0"/>
    <x v="0"/>
    <x v="1"/>
    <x v="0"/>
    <x v="0"/>
    <x v="0"/>
    <x v="1"/>
    <x v="0"/>
    <x v="3"/>
    <x v="1"/>
    <x v="0"/>
    <x v="0"/>
    <x v="0"/>
    <x v="0"/>
    <x v="1"/>
    <x v="3"/>
    <x v="2"/>
    <x v="0"/>
    <x v="3"/>
    <x v="0"/>
    <x v="0"/>
    <x v="3"/>
    <x v="3"/>
    <x v="0"/>
    <x v="0"/>
    <x v="3"/>
    <x v="2"/>
    <x v="1"/>
    <x v="0"/>
    <x v="0"/>
    <x v="0"/>
    <x v="0"/>
    <x v="0"/>
    <x v="0"/>
    <x v="0"/>
    <x v="1"/>
    <x v="0"/>
    <x v="1"/>
    <x v="1"/>
    <x v="1"/>
    <x v="4"/>
    <x v="1"/>
    <x v="1"/>
    <x v="1"/>
    <x v="1"/>
    <x v="1"/>
    <x v="1"/>
    <x v="1"/>
    <x v="2"/>
    <x v="2"/>
    <x v="2"/>
    <x v="2"/>
    <x v="2"/>
    <x v="2"/>
    <x v="2"/>
    <x v="2"/>
    <x v="2"/>
    <x v="1"/>
    <x v="1"/>
    <x v="1"/>
    <x v="1"/>
    <x v="1"/>
    <x v="1"/>
    <x v="1"/>
    <x v="1"/>
    <x v="1"/>
    <x v="1"/>
    <x v="1"/>
    <x v="0"/>
    <x v="0"/>
    <x v="0"/>
    <x v="0"/>
    <x v="0"/>
    <x v="0"/>
    <x v="0"/>
    <x v="0"/>
    <x v="0"/>
    <x v="0"/>
    <x v="0"/>
    <x v="0"/>
    <x v="0"/>
    <x v="0"/>
    <x v="0"/>
    <x v="0"/>
    <x v="0"/>
    <x v="0"/>
    <x v="0"/>
    <x v="0"/>
    <x v="0"/>
    <x v="0"/>
    <x v="0"/>
    <x v="0"/>
    <x v="0"/>
    <x v="1"/>
    <x v="1"/>
    <x v="0"/>
    <x v="0"/>
    <x v="0"/>
    <x v="1"/>
    <x v="1"/>
    <x v="0"/>
    <x v="0"/>
    <x v="0"/>
    <x v="1"/>
    <x v="1"/>
    <x v="1"/>
    <x v="2"/>
    <x v="0"/>
    <x v="3"/>
    <x v="0"/>
  </r>
  <r>
    <x v="0"/>
    <x v="3"/>
    <x v="2"/>
    <x v="1"/>
    <x v="4"/>
    <x v="2"/>
    <x v="2"/>
    <x v="1"/>
    <x v="3"/>
    <x v="0"/>
    <x v="1"/>
    <x v="0"/>
    <x v="1"/>
    <x v="0"/>
    <x v="0"/>
    <x v="0"/>
    <x v="0"/>
    <x v="0"/>
    <x v="0"/>
    <x v="0"/>
    <x v="1"/>
    <x v="0"/>
    <x v="0"/>
    <x v="0"/>
    <x v="1"/>
    <x v="0"/>
    <x v="0"/>
    <x v="4"/>
    <x v="2"/>
    <x v="0"/>
    <x v="0"/>
    <x v="0"/>
    <x v="0"/>
    <x v="2"/>
    <x v="1"/>
    <x v="3"/>
    <x v="1"/>
    <x v="2"/>
    <x v="0"/>
    <x v="0"/>
    <x v="3"/>
    <x v="3"/>
    <x v="0"/>
    <x v="0"/>
    <x v="1"/>
    <x v="2"/>
    <x v="1"/>
    <x v="0"/>
    <x v="0"/>
    <x v="0"/>
    <x v="0"/>
    <x v="0"/>
    <x v="0"/>
    <x v="0"/>
    <x v="1"/>
    <x v="0"/>
    <x v="1"/>
    <x v="1"/>
    <x v="1"/>
    <x v="4"/>
    <x v="0"/>
    <x v="0"/>
    <x v="0"/>
    <x v="0"/>
    <x v="0"/>
    <x v="0"/>
    <x v="0"/>
    <x v="1"/>
    <x v="1"/>
    <x v="1"/>
    <x v="1"/>
    <x v="1"/>
    <x v="1"/>
    <x v="1"/>
    <x v="1"/>
    <x v="1"/>
    <x v="0"/>
    <x v="0"/>
    <x v="0"/>
    <x v="0"/>
    <x v="0"/>
    <x v="0"/>
    <x v="0"/>
    <x v="0"/>
    <x v="0"/>
    <x v="0"/>
    <x v="0"/>
    <x v="0"/>
    <x v="0"/>
    <x v="0"/>
    <x v="0"/>
    <x v="0"/>
    <x v="0"/>
    <x v="0"/>
    <x v="0"/>
    <x v="0"/>
    <x v="0"/>
    <x v="0"/>
    <x v="0"/>
    <x v="0"/>
    <x v="0"/>
    <x v="0"/>
    <x v="0"/>
    <x v="0"/>
    <x v="0"/>
    <x v="0"/>
    <x v="0"/>
    <x v="0"/>
    <x v="0"/>
    <x v="0"/>
    <x v="0"/>
    <x v="0"/>
    <x v="1"/>
    <x v="1"/>
    <x v="0"/>
    <x v="0"/>
    <x v="0"/>
    <x v="1"/>
    <x v="1"/>
    <x v="0"/>
    <x v="0"/>
    <x v="0"/>
    <x v="2"/>
    <x v="2"/>
    <x v="1"/>
    <x v="1"/>
    <x v="1"/>
    <x v="2"/>
    <x v="0"/>
  </r>
  <r>
    <x v="0"/>
    <x v="0"/>
    <x v="4"/>
    <x v="0"/>
    <x v="0"/>
    <x v="4"/>
    <x v="0"/>
    <x v="3"/>
    <x v="1"/>
    <x v="2"/>
    <x v="0"/>
    <x v="0"/>
    <x v="0"/>
    <x v="0"/>
    <x v="0"/>
    <x v="0"/>
    <x v="0"/>
    <x v="0"/>
    <x v="0"/>
    <x v="0"/>
    <x v="0"/>
    <x v="0"/>
    <x v="0"/>
    <x v="0"/>
    <x v="0"/>
    <x v="0"/>
    <x v="0"/>
    <x v="0"/>
    <x v="7"/>
    <x v="0"/>
    <x v="0"/>
    <x v="0"/>
    <x v="0"/>
    <x v="4"/>
    <x v="5"/>
    <x v="4"/>
    <x v="3"/>
    <x v="4"/>
    <x v="0"/>
    <x v="0"/>
    <x v="3"/>
    <x v="3"/>
    <x v="1"/>
    <x v="1"/>
    <x v="4"/>
    <x v="1"/>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r>
    <x v="0"/>
    <x v="0"/>
    <x v="4"/>
    <x v="0"/>
    <x v="0"/>
    <x v="4"/>
    <x v="0"/>
    <x v="3"/>
    <x v="1"/>
    <x v="2"/>
    <x v="0"/>
    <x v="0"/>
    <x v="0"/>
    <x v="0"/>
    <x v="0"/>
    <x v="0"/>
    <x v="0"/>
    <x v="0"/>
    <x v="0"/>
    <x v="0"/>
    <x v="0"/>
    <x v="0"/>
    <x v="0"/>
    <x v="0"/>
    <x v="0"/>
    <x v="0"/>
    <x v="0"/>
    <x v="0"/>
    <x v="7"/>
    <x v="0"/>
    <x v="0"/>
    <x v="0"/>
    <x v="0"/>
    <x v="4"/>
    <x v="5"/>
    <x v="4"/>
    <x v="3"/>
    <x v="4"/>
    <x v="0"/>
    <x v="0"/>
    <x v="3"/>
    <x v="3"/>
    <x v="1"/>
    <x v="1"/>
    <x v="4"/>
    <x v="3"/>
    <x v="2"/>
    <x v="0"/>
    <x v="0"/>
    <x v="0"/>
    <x v="0"/>
    <x v="0"/>
    <x v="0"/>
    <x v="1"/>
    <x v="1"/>
    <x v="0"/>
    <x v="1"/>
    <x v="5"/>
    <x v="5"/>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1"/>
    <x v="1"/>
    <x v="0"/>
    <x v="0"/>
    <x v="1"/>
    <x v="1"/>
    <x v="1"/>
    <x v="0"/>
    <x v="2"/>
    <x v="0"/>
    <x v="0"/>
    <x v="0"/>
    <x v="4"/>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5:E13" firstHeaderRow="1" firstDataRow="1" firstDataCol="4" rowPageCount="3" colPageCount="1"/>
  <pivotFields count="129">
    <pivotField compact="0" showAll="0"/>
    <pivotField axis="axisPage" compact="0" showAll="0" defaultSubtotal="0" outline="0">
      <items count="5">
        <item x="0"/>
        <item x="4"/>
        <item x="2"/>
        <item x="3"/>
        <item x="1"/>
      </items>
    </pivotField>
    <pivotField axis="axisPage" compact="0" showAll="0" defaultSubtotal="0" outline="0">
      <items count="5">
        <item x="0"/>
        <item x="4"/>
        <item x="1"/>
        <item x="2"/>
        <item x="3"/>
      </items>
    </pivotField>
    <pivotField axis="axisPage" compact="0" showAll="0" defaultSubtotal="0" outline="0">
      <items count="2">
        <item x="0"/>
        <item x="1"/>
      </items>
    </pivotField>
    <pivotField axis="axisRow" compact="0" showAll="0" defaultSubtotal="0" outline="0">
      <items count="6">
        <item x="0"/>
        <item x="5"/>
        <item x="1"/>
        <item x="2"/>
        <item x="3"/>
        <item x="4"/>
      </items>
    </pivotField>
    <pivotField compact="0" showAll="0"/>
    <pivotField compact="0" showAll="0"/>
    <pivotField axis="axisRow" compact="0" showAll="0" defaultSubtotal="0" outline="0">
      <items count="4">
        <item x="0"/>
        <item x="3"/>
        <item x="2"/>
        <item x="1"/>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defaultSubtotal="0" outline="0">
      <items count="6">
        <item x="0"/>
        <item x="1"/>
        <item x="2"/>
        <item x="3"/>
        <item x="4"/>
        <item x="5"/>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defaultSubtotal="0" outline="0">
      <items count="1">
        <item x="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4">
    <field x="4"/>
    <field x="38"/>
    <field x="7"/>
    <field x="27"/>
  </rowFields>
  <pageFields count="3">
    <pageField fld="3" hier="-1"/>
    <pageField fld="1" hier="-1"/>
    <pageField fld="2" hier="-1"/>
  </pageFields>
  <dataFields count="1">
    <dataField name="Sum - Effort" fld="14" subtotal="sum" numFmtId="166"/>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gro" displayName="gro" ref="Q5:Q15" headerRowCount="1" totalsRowCount="0" totalsRowShown="0">
  <tableColumns count="1">
    <tableColumn id="1" name="gro"/>
  </tableColumns>
</table>
</file>

<file path=xl/tables/table10.xml><?xml version="1.0" encoding="utf-8"?>
<table xmlns="http://schemas.openxmlformats.org/spreadsheetml/2006/main" id="10" name="sec" displayName="sec" ref="S5:S15" headerRowCount="1" totalsRowCount="0" totalsRowShown="0">
  <tableColumns count="1">
    <tableColumn id="1" name="sec"/>
  </tableColumns>
</table>
</file>

<file path=xl/tables/table2.xml><?xml version="1.0" encoding="utf-8"?>
<table xmlns="http://schemas.openxmlformats.org/spreadsheetml/2006/main" id="2" name="mgt" displayName="mgt" ref="M5:M17" headerRowCount="1" totalsRowCount="0" totalsRowShown="0">
  <tableColumns count="1">
    <tableColumn id="1" name="mgt"/>
  </tableColumns>
</table>
</file>

<file path=xl/tables/table3.xml><?xml version="1.0" encoding="utf-8"?>
<table xmlns="http://schemas.openxmlformats.org/spreadsheetml/2006/main" id="3" name="opt" displayName="opt" ref="T5:T15" headerRowCount="1" totalsRowCount="0" totalsRowShown="0">
  <tableColumns count="1">
    <tableColumn id="1" name="opt"/>
  </tableColumns>
</table>
</file>

<file path=xl/tables/table4.xml><?xml version="1.0" encoding="utf-8"?>
<table xmlns="http://schemas.openxmlformats.org/spreadsheetml/2006/main" id="4" name="oth" displayName="oth" ref="U5:U15" headerRowCount="1" totalsRowCount="0" totalsRowShown="0">
  <tableColumns count="1">
    <tableColumn id="1" name="oth"/>
  </tableColumns>
</table>
</file>

<file path=xl/tables/table5.xml><?xml version="1.0" encoding="utf-8"?>
<table xmlns="http://schemas.openxmlformats.org/spreadsheetml/2006/main" id="5" name="ovh" displayName="ovh" ref="P5:P17" headerRowCount="1" totalsRowCount="0" totalsRowShown="0">
  <tableColumns count="1">
    <tableColumn id="1" name="ovh"/>
  </tableColumns>
</table>
</file>

<file path=xl/tables/table6.xml><?xml version="1.0" encoding="utf-8"?>
<table xmlns="http://schemas.openxmlformats.org/spreadsheetml/2006/main" id="6" name="ovs" displayName="ovs" ref="O5:O16" headerRowCount="1" totalsRowCount="0" totalsRowShown="0">
  <tableColumns count="1">
    <tableColumn id="1" name="ovs"/>
  </tableColumns>
</table>
</file>

<file path=xl/tables/table7.xml><?xml version="1.0" encoding="utf-8"?>
<table xmlns="http://schemas.openxmlformats.org/spreadsheetml/2006/main" id="7" name="prd" displayName="prd" ref="N5:N19" headerRowCount="1" totalsRowCount="0" totalsRowShown="0">
  <tableColumns count="1">
    <tableColumn id="1" name="prd"/>
  </tableColumns>
</table>
</file>

<file path=xl/tables/table8.xml><?xml version="1.0" encoding="utf-8"?>
<table xmlns="http://schemas.openxmlformats.org/spreadsheetml/2006/main" id="8" name="prj" displayName="prj" ref="V5:V15" headerRowCount="1" totalsRowCount="0" totalsRowShown="0">
  <tableColumns count="1">
    <tableColumn id="1" name="prj"/>
  </tableColumns>
</table>
</file>

<file path=xl/tables/table9.xml><?xml version="1.0" encoding="utf-8"?>
<table xmlns="http://schemas.openxmlformats.org/spreadsheetml/2006/main" id="9" name="pro" displayName="pro" ref="R5:R15" headerRowCount="1" totalsRowCount="0" totalsRowShown="0">
  <tableColumns count="1">
    <tableColumn id="1" name="pro"/>
  </tableColumns>
</table>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drawing" Target="../drawings/drawing12.xml"/>
</Relationships>
</file>

<file path=xl/worksheets/_rels/sheet15.xml.rels><?xml version="1.0" encoding="UTF-8"?>
<Relationships xmlns="http://schemas.openxmlformats.org/package/2006/relationships"><Relationship Id="rId1" Type="http://schemas.openxmlformats.org/officeDocument/2006/relationships/drawing" Target="../drawings/drawing13.xml"/>
</Relationships>
</file>

<file path=xl/worksheets/_rels/sheet16.xml.rels><?xml version="1.0" encoding="UTF-8"?>
<Relationships xmlns="http://schemas.openxmlformats.org/package/2006/relationships"><Relationship Id="rId1" Type="http://schemas.openxmlformats.org/officeDocument/2006/relationships/drawing" Target="../drawings/drawing14.xml"/>
</Relationships>
</file>

<file path=xl/worksheets/_rels/sheet17.xml.rels><?xml version="1.0" encoding="UTF-8"?>
<Relationships xmlns="http://schemas.openxmlformats.org/package/2006/relationships"><Relationship Id="rId1" Type="http://schemas.openxmlformats.org/officeDocument/2006/relationships/drawing" Target="../drawings/drawing15.xml"/>
</Relationships>
</file>

<file path=xl/worksheets/_rels/sheet18.xml.rels><?xml version="1.0" encoding="UTF-8"?>
<Relationships xmlns="http://schemas.openxmlformats.org/package/2006/relationships"><Relationship Id="rId1" Type="http://schemas.openxmlformats.org/officeDocument/2006/relationships/drawing" Target="../drawings/drawing16.xml"/>
</Relationships>
</file>

<file path=xl/worksheets/_rels/sheet19.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9999"/>
    <pageSetUpPr fitToPage="false"/>
  </sheetPr>
  <dimension ref="B1:E252"/>
  <sheetViews>
    <sheetView showFormulas="false" showGridLines="false" showRowColHeaders="true" showZeros="true" rightToLeft="false" tabSelected="true" showOutlineSymbols="true" defaultGridColor="true" view="normal" topLeftCell="A244" colorId="64" zoomScale="95" zoomScaleNormal="95" zoomScalePageLayoutView="100" workbookViewId="0">
      <selection pane="topLeft" activeCell="E253" activeCellId="0" sqref="E253"/>
    </sheetView>
  </sheetViews>
  <sheetFormatPr defaultColWidth="16.8671875" defaultRowHeight="12.8" zeroHeight="false" outlineLevelRow="0" outlineLevelCol="0"/>
  <cols>
    <col collapsed="false" customWidth="true" hidden="false" outlineLevel="0" max="1" min="1" style="0" width="1.92"/>
    <col collapsed="false" customWidth="true" hidden="false" outlineLevel="0" max="2" min="2" style="1" width="4.17"/>
    <col collapsed="false" customWidth="true" hidden="false" outlineLevel="0" max="3" min="3" style="0" width="19.31"/>
    <col collapsed="false" customWidth="true" hidden="false" outlineLevel="0" max="4" min="4" style="2" width="10.49"/>
    <col collapsed="false" customWidth="true" hidden="false" outlineLevel="0" max="5" min="5" style="0" width="43.2"/>
  </cols>
  <sheetData>
    <row r="1" customFormat="false" ht="12.8" hidden="false" customHeight="false" outlineLevel="0" collapsed="false">
      <c r="B1" s="1" t="s">
        <v>0</v>
      </c>
    </row>
    <row r="2" customFormat="false" ht="12.8" hidden="false" customHeight="false" outlineLevel="0" collapsed="false">
      <c r="C2" s="0" t="s">
        <v>1</v>
      </c>
    </row>
    <row r="3" customFormat="false" ht="12.8" hidden="false" customHeight="false" outlineLevel="0" collapsed="false">
      <c r="C3" s="0" t="s">
        <v>2</v>
      </c>
    </row>
    <row r="4" customFormat="false" ht="12.8" hidden="false" customHeight="false" outlineLevel="0" collapsed="false">
      <c r="C4" s="0" t="s">
        <v>3</v>
      </c>
    </row>
    <row r="5" customFormat="false" ht="12.8" hidden="false" customHeight="false" outlineLevel="0" collapsed="false">
      <c r="C5" s="0" t="s">
        <v>4</v>
      </c>
    </row>
    <row r="7" customFormat="false" ht="12.8" hidden="false" customHeight="false" outlineLevel="0" collapsed="false">
      <c r="C7" s="0" t="s">
        <v>5</v>
      </c>
    </row>
    <row r="8" customFormat="false" ht="12.8" hidden="false" customHeight="false" outlineLevel="0" collapsed="false">
      <c r="C8" s="0" t="s">
        <v>6</v>
      </c>
    </row>
    <row r="9" customFormat="false" ht="12.8" hidden="false" customHeight="false" outlineLevel="0" collapsed="false">
      <c r="C9" s="0" t="s">
        <v>7</v>
      </c>
    </row>
    <row r="11" customFormat="false" ht="12.8" hidden="false" customHeight="false" outlineLevel="0" collapsed="false">
      <c r="C11" s="0" t="s">
        <v>8</v>
      </c>
    </row>
    <row r="12" customFormat="false" ht="12.8" hidden="false" customHeight="false" outlineLevel="0" collapsed="false">
      <c r="C12" s="0" t="s">
        <v>9</v>
      </c>
    </row>
    <row r="14" customFormat="false" ht="12.8" hidden="false" customHeight="false" outlineLevel="0" collapsed="false">
      <c r="C14" s="0" t="s">
        <v>10</v>
      </c>
    </row>
    <row r="15" customFormat="false" ht="12.8" hidden="false" customHeight="false" outlineLevel="0" collapsed="false">
      <c r="C15" s="3" t="s">
        <v>11</v>
      </c>
    </row>
    <row r="17" customFormat="false" ht="12.8" hidden="false" customHeight="false" outlineLevel="0" collapsed="false">
      <c r="C17" s="0" t="s">
        <v>12</v>
      </c>
    </row>
    <row r="18" customFormat="false" ht="12.8" hidden="false" customHeight="false" outlineLevel="0" collapsed="false">
      <c r="C18" s="0" t="s">
        <v>13</v>
      </c>
    </row>
    <row r="19" customFormat="false" ht="12.8" hidden="false" customHeight="false" outlineLevel="0" collapsed="false">
      <c r="C19" s="0" t="s">
        <v>14</v>
      </c>
    </row>
    <row r="20" customFormat="false" ht="12.8" hidden="false" customHeight="false" outlineLevel="0" collapsed="false">
      <c r="C20" s="0" t="s">
        <v>15</v>
      </c>
    </row>
    <row r="21" customFormat="false" ht="12.8" hidden="false" customHeight="false" outlineLevel="0" collapsed="false">
      <c r="C21" s="0" t="s">
        <v>16</v>
      </c>
    </row>
    <row r="22" customFormat="false" ht="12.8" hidden="false" customHeight="false" outlineLevel="0" collapsed="false">
      <c r="C22" s="0" t="s">
        <v>17</v>
      </c>
    </row>
    <row r="24" customFormat="false" ht="12.8" hidden="false" customHeight="false" outlineLevel="0" collapsed="false">
      <c r="C24" s="0" t="s">
        <v>18</v>
      </c>
    </row>
    <row r="25" customFormat="false" ht="12.8" hidden="false" customHeight="false" outlineLevel="0" collapsed="false">
      <c r="C25" s="0" t="s">
        <v>19</v>
      </c>
    </row>
    <row r="26" customFormat="false" ht="12.8" hidden="false" customHeight="false" outlineLevel="0" collapsed="false">
      <c r="C26" s="0" t="s">
        <v>20</v>
      </c>
    </row>
    <row r="29" customFormat="false" ht="12.8" hidden="false" customHeight="false" outlineLevel="0" collapsed="false">
      <c r="B29" s="1" t="s">
        <v>21</v>
      </c>
    </row>
    <row r="30" customFormat="false" ht="12.8" hidden="false" customHeight="false" outlineLevel="0" collapsed="false">
      <c r="C30" s="0" t="s">
        <v>22</v>
      </c>
    </row>
    <row r="31" customFormat="false" ht="12.8" hidden="false" customHeight="false" outlineLevel="0" collapsed="false">
      <c r="C31" s="0" t="s">
        <v>23</v>
      </c>
    </row>
    <row r="33" customFormat="false" ht="12.8" hidden="false" customHeight="false" outlineLevel="0" collapsed="false">
      <c r="C33" s="0" t="s">
        <v>24</v>
      </c>
    </row>
    <row r="34" customFormat="false" ht="12.8" hidden="false" customHeight="false" outlineLevel="0" collapsed="false">
      <c r="C34" s="0" t="s">
        <v>25</v>
      </c>
    </row>
    <row r="35" customFormat="false" ht="12.8" hidden="false" customHeight="false" outlineLevel="0" collapsed="false">
      <c r="C35" s="0" t="s">
        <v>26</v>
      </c>
    </row>
    <row r="36" customFormat="false" ht="12.8" hidden="false" customHeight="false" outlineLevel="0" collapsed="false">
      <c r="C36" s="0" t="s">
        <v>27</v>
      </c>
    </row>
    <row r="37" customFormat="false" ht="12.8" hidden="false" customHeight="false" outlineLevel="0" collapsed="false">
      <c r="C37" s="0" t="s">
        <v>28</v>
      </c>
    </row>
    <row r="38" customFormat="false" ht="12.8" hidden="false" customHeight="false" outlineLevel="0" collapsed="false">
      <c r="C38" s="0" t="s">
        <v>29</v>
      </c>
    </row>
    <row r="40" customFormat="false" ht="12.8" hidden="false" customHeight="false" outlineLevel="0" collapsed="false">
      <c r="C40" s="0" t="s">
        <v>30</v>
      </c>
    </row>
    <row r="41" customFormat="false" ht="12.8" hidden="false" customHeight="false" outlineLevel="0" collapsed="false">
      <c r="C41" s="0" t="s">
        <v>31</v>
      </c>
    </row>
    <row r="42" customFormat="false" ht="12.8" hidden="false" customHeight="false" outlineLevel="0" collapsed="false">
      <c r="C42" s="0" t="s">
        <v>32</v>
      </c>
    </row>
    <row r="43" customFormat="false" ht="12.8" hidden="false" customHeight="false" outlineLevel="0" collapsed="false">
      <c r="C43" s="0" t="s">
        <v>33</v>
      </c>
    </row>
    <row r="44" customFormat="false" ht="12.8" hidden="false" customHeight="false" outlineLevel="0" collapsed="false">
      <c r="C44" s="0" t="s">
        <v>25</v>
      </c>
    </row>
    <row r="45" customFormat="false" ht="12.8" hidden="false" customHeight="false" outlineLevel="0" collapsed="false">
      <c r="C45" s="0" t="s">
        <v>34</v>
      </c>
    </row>
    <row r="46" customFormat="false" ht="12.8" hidden="false" customHeight="false" outlineLevel="0" collapsed="false">
      <c r="C46" s="0" t="s">
        <v>35</v>
      </c>
    </row>
    <row r="48" customFormat="false" ht="12.8" hidden="false" customHeight="false" outlineLevel="0" collapsed="false">
      <c r="C48" s="0" t="s">
        <v>36</v>
      </c>
    </row>
    <row r="49" customFormat="false" ht="12.8" hidden="false" customHeight="false" outlineLevel="0" collapsed="false">
      <c r="C49" s="3" t="s">
        <v>37</v>
      </c>
    </row>
    <row r="50" customFormat="false" ht="12.8" hidden="false" customHeight="false" outlineLevel="0" collapsed="false">
      <c r="C50" s="3" t="s">
        <v>38</v>
      </c>
    </row>
    <row r="51" customFormat="false" ht="12.8" hidden="false" customHeight="false" outlineLevel="0" collapsed="false">
      <c r="C51" s="3"/>
    </row>
    <row r="53" customFormat="false" ht="12.8" hidden="false" customHeight="false" outlineLevel="0" collapsed="false">
      <c r="B53" s="1" t="s">
        <v>39</v>
      </c>
    </row>
    <row r="54" customFormat="false" ht="12.8" hidden="false" customHeight="false" outlineLevel="0" collapsed="false">
      <c r="B54" s="1" t="s">
        <v>40</v>
      </c>
    </row>
    <row r="55" customFormat="false" ht="12.8" hidden="false" customHeight="false" outlineLevel="0" collapsed="false">
      <c r="C55" s="0" t="s">
        <v>41</v>
      </c>
    </row>
    <row r="56" customFormat="false" ht="12.8" hidden="false" customHeight="false" outlineLevel="0" collapsed="false">
      <c r="C56" s="0" t="s">
        <v>42</v>
      </c>
    </row>
    <row r="57" customFormat="false" ht="12.8" hidden="false" customHeight="false" outlineLevel="0" collapsed="false">
      <c r="C57" s="0" t="s">
        <v>43</v>
      </c>
    </row>
    <row r="58" customFormat="false" ht="12.8" hidden="false" customHeight="false" outlineLevel="0" collapsed="false">
      <c r="C58" s="0" t="s">
        <v>44</v>
      </c>
    </row>
    <row r="60" customFormat="false" ht="12.8" hidden="false" customHeight="false" outlineLevel="0" collapsed="false">
      <c r="C60" s="4" t="s">
        <v>45</v>
      </c>
      <c r="D60" s="0"/>
      <c r="E60" s="5" t="s">
        <v>46</v>
      </c>
    </row>
    <row r="61" customFormat="false" ht="12.8" hidden="false" customHeight="false" outlineLevel="0" collapsed="false">
      <c r="C61" s="6" t="s">
        <v>47</v>
      </c>
      <c r="D61" s="0"/>
      <c r="E61" s="5" t="s">
        <v>48</v>
      </c>
    </row>
    <row r="62" customFormat="false" ht="12.8" hidden="false" customHeight="false" outlineLevel="0" collapsed="false">
      <c r="C62" s="7" t="s">
        <v>49</v>
      </c>
      <c r="D62" s="0"/>
      <c r="E62" s="5" t="s">
        <v>50</v>
      </c>
    </row>
    <row r="63" customFormat="false" ht="12.8" hidden="false" customHeight="false" outlineLevel="0" collapsed="false">
      <c r="C63" s="7" t="s">
        <v>51</v>
      </c>
      <c r="D63" s="0"/>
      <c r="E63" s="5" t="s">
        <v>52</v>
      </c>
    </row>
    <row r="64" customFormat="false" ht="12.8" hidden="false" customHeight="false" outlineLevel="0" collapsed="false">
      <c r="C64" s="7" t="s">
        <v>53</v>
      </c>
      <c r="D64" s="0"/>
      <c r="E64" s="5" t="s">
        <v>54</v>
      </c>
    </row>
    <row r="65" customFormat="false" ht="12.8" hidden="false" customHeight="false" outlineLevel="0" collapsed="false">
      <c r="C65" s="7" t="s">
        <v>55</v>
      </c>
      <c r="D65" s="0"/>
      <c r="E65" s="5" t="s">
        <v>56</v>
      </c>
    </row>
    <row r="66" customFormat="false" ht="12.8" hidden="false" customHeight="false" outlineLevel="0" collapsed="false">
      <c r="C66" s="7" t="s">
        <v>57</v>
      </c>
      <c r="D66" s="0"/>
      <c r="E66" s="5" t="s">
        <v>58</v>
      </c>
    </row>
    <row r="67" customFormat="false" ht="12.8" hidden="false" customHeight="false" outlineLevel="0" collapsed="false">
      <c r="C67" s="7" t="s">
        <v>59</v>
      </c>
      <c r="D67" s="0"/>
      <c r="E67" s="5" t="s">
        <v>60</v>
      </c>
    </row>
    <row r="68" customFormat="false" ht="12.8" hidden="false" customHeight="false" outlineLevel="0" collapsed="false">
      <c r="C68" s="7" t="s">
        <v>61</v>
      </c>
      <c r="D68" s="0"/>
      <c r="E68" s="5" t="s">
        <v>62</v>
      </c>
    </row>
    <row r="69" customFormat="false" ht="12.8" hidden="false" customHeight="false" outlineLevel="0" collapsed="false">
      <c r="C69" s="8" t="s">
        <v>63</v>
      </c>
      <c r="D69" s="0"/>
      <c r="E69" s="5" t="s">
        <v>64</v>
      </c>
    </row>
    <row r="70" customFormat="false" ht="12.8" hidden="false" customHeight="false" outlineLevel="0" collapsed="false">
      <c r="C70" s="8" t="s">
        <v>65</v>
      </c>
      <c r="D70" s="0"/>
      <c r="E70" s="5" t="s">
        <v>66</v>
      </c>
    </row>
    <row r="71" customFormat="false" ht="12.8" hidden="false" customHeight="false" outlineLevel="0" collapsed="false">
      <c r="C71" s="8" t="s">
        <v>67</v>
      </c>
      <c r="D71" s="0"/>
      <c r="E71" s="5" t="s">
        <v>68</v>
      </c>
    </row>
    <row r="72" customFormat="false" ht="12.8" hidden="false" customHeight="false" outlineLevel="0" collapsed="false">
      <c r="C72" s="9" t="s">
        <v>69</v>
      </c>
      <c r="D72" s="0"/>
      <c r="E72" s="5" t="s">
        <v>70</v>
      </c>
    </row>
    <row r="73" customFormat="false" ht="12.8" hidden="false" customHeight="false" outlineLevel="0" collapsed="false">
      <c r="C73" s="9" t="s">
        <v>71</v>
      </c>
      <c r="D73" s="0"/>
      <c r="E73" s="5" t="s">
        <v>72</v>
      </c>
    </row>
    <row r="74" customFormat="false" ht="12.8" hidden="false" customHeight="false" outlineLevel="0" collapsed="false">
      <c r="C74" s="9" t="s">
        <v>73</v>
      </c>
      <c r="D74" s="0"/>
      <c r="E74" s="5" t="s">
        <v>74</v>
      </c>
    </row>
    <row r="75" customFormat="false" ht="12.8" hidden="false" customHeight="false" outlineLevel="0" collapsed="false">
      <c r="C75" s="10" t="s">
        <v>75</v>
      </c>
      <c r="D75" s="0"/>
      <c r="E75" s="5" t="s">
        <v>76</v>
      </c>
    </row>
    <row r="76" customFormat="false" ht="12.8" hidden="false" customHeight="false" outlineLevel="0" collapsed="false">
      <c r="C76" s="11" t="s">
        <v>77</v>
      </c>
      <c r="D76" s="0"/>
      <c r="E76" s="5" t="s">
        <v>78</v>
      </c>
    </row>
    <row r="77" customFormat="false" ht="12.8" hidden="false" customHeight="false" outlineLevel="0" collapsed="false">
      <c r="D77" s="5"/>
    </row>
    <row r="78" customFormat="false" ht="12.8" hidden="false" customHeight="false" outlineLevel="0" collapsed="false">
      <c r="B78" s="1" t="s">
        <v>79</v>
      </c>
      <c r="D78" s="5"/>
    </row>
    <row r="79" customFormat="false" ht="12.8" hidden="false" customHeight="false" outlineLevel="0" collapsed="false">
      <c r="C79" s="1"/>
      <c r="D79" s="5"/>
    </row>
    <row r="80" customFormat="false" ht="12.8" hidden="false" customHeight="false" outlineLevel="0" collapsed="false">
      <c r="C80" s="1" t="s">
        <v>80</v>
      </c>
      <c r="D80" s="5"/>
    </row>
    <row r="81" customFormat="false" ht="12.8" hidden="false" customHeight="false" outlineLevel="0" collapsed="false">
      <c r="C81" s="0" t="s">
        <v>81</v>
      </c>
      <c r="D81" s="5"/>
    </row>
    <row r="82" customFormat="false" ht="12.8" hidden="false" customHeight="false" outlineLevel="0" collapsed="false">
      <c r="D82" s="5"/>
    </row>
    <row r="83" customFormat="false" ht="12.8" hidden="false" customHeight="false" outlineLevel="0" collapsed="false">
      <c r="C83" s="1" t="s">
        <v>82</v>
      </c>
      <c r="D83" s="5"/>
    </row>
    <row r="84" customFormat="false" ht="12.8" hidden="false" customHeight="false" outlineLevel="0" collapsed="false">
      <c r="C84" s="0" t="s">
        <v>83</v>
      </c>
      <c r="D84" s="5"/>
    </row>
    <row r="85" customFormat="false" ht="12.8" hidden="false" customHeight="false" outlineLevel="0" collapsed="false">
      <c r="D85" s="5"/>
    </row>
    <row r="86" customFormat="false" ht="12.8" hidden="false" customHeight="false" outlineLevel="0" collapsed="false">
      <c r="C86" s="0" t="s">
        <v>84</v>
      </c>
      <c r="D86" s="5"/>
    </row>
    <row r="87" customFormat="false" ht="12.8" hidden="false" customHeight="false" outlineLevel="0" collapsed="false">
      <c r="D87" s="5"/>
    </row>
    <row r="88" customFormat="false" ht="12.8" hidden="false" customHeight="false" outlineLevel="0" collapsed="false">
      <c r="C88" s="1" t="s">
        <v>85</v>
      </c>
      <c r="D88" s="5"/>
    </row>
    <row r="89" customFormat="false" ht="12.8" hidden="false" customHeight="false" outlineLevel="0" collapsed="false">
      <c r="C89" s="0" t="s">
        <v>86</v>
      </c>
      <c r="D89" s="5"/>
    </row>
    <row r="90" customFormat="false" ht="12.8" hidden="false" customHeight="false" outlineLevel="0" collapsed="false">
      <c r="C90" s="0" t="s">
        <v>87</v>
      </c>
      <c r="D90" s="5"/>
    </row>
    <row r="91" customFormat="false" ht="12.8" hidden="false" customHeight="false" outlineLevel="0" collapsed="false">
      <c r="D91" s="5"/>
    </row>
    <row r="92" customFormat="false" ht="12.8" hidden="false" customHeight="false" outlineLevel="0" collapsed="false">
      <c r="C92" s="1" t="s">
        <v>88</v>
      </c>
      <c r="D92" s="5"/>
    </row>
    <row r="93" customFormat="false" ht="12.8" hidden="false" customHeight="false" outlineLevel="0" collapsed="false">
      <c r="C93" s="0" t="s">
        <v>89</v>
      </c>
      <c r="D93" s="5"/>
    </row>
    <row r="94" customFormat="false" ht="12.8" hidden="false" customHeight="false" outlineLevel="0" collapsed="false">
      <c r="C94" s="0" t="s">
        <v>87</v>
      </c>
      <c r="D94" s="5"/>
    </row>
    <row r="95" customFormat="false" ht="12.8" hidden="false" customHeight="false" outlineLevel="0" collapsed="false">
      <c r="D95" s="5"/>
    </row>
    <row r="97" customFormat="false" ht="12.8" hidden="false" customHeight="false" outlineLevel="0" collapsed="false">
      <c r="C97" s="1" t="s">
        <v>77</v>
      </c>
    </row>
    <row r="98" customFormat="false" ht="12.8" hidden="false" customHeight="false" outlineLevel="0" collapsed="false">
      <c r="C98" s="0" t="s">
        <v>90</v>
      </c>
    </row>
    <row r="101" customFormat="false" ht="12.8" hidden="false" customHeight="false" outlineLevel="0" collapsed="false">
      <c r="B101" s="1" t="s">
        <v>91</v>
      </c>
    </row>
    <row r="102" customFormat="false" ht="12.8" hidden="false" customHeight="false" outlineLevel="0" collapsed="false">
      <c r="C102" s="0" t="s">
        <v>92</v>
      </c>
    </row>
    <row r="104" customFormat="false" ht="12.8" hidden="false" customHeight="false" outlineLevel="0" collapsed="false">
      <c r="C104" s="4" t="s">
        <v>93</v>
      </c>
      <c r="E104" s="0" t="s">
        <v>94</v>
      </c>
    </row>
    <row r="105" customFormat="false" ht="12.8" hidden="false" customHeight="false" outlineLevel="0" collapsed="false">
      <c r="C105" s="8" t="s">
        <v>95</v>
      </c>
      <c r="E105" s="0" t="s">
        <v>96</v>
      </c>
    </row>
    <row r="108" customFormat="false" ht="12.8" hidden="false" customHeight="false" outlineLevel="0" collapsed="false">
      <c r="B108" s="1" t="s">
        <v>97</v>
      </c>
    </row>
    <row r="109" customFormat="false" ht="12.8" hidden="false" customHeight="false" outlineLevel="0" collapsed="false">
      <c r="C109" s="0" t="s">
        <v>98</v>
      </c>
      <c r="D109" s="2" t="n">
        <v>20211007</v>
      </c>
      <c r="E109" s="0" t="s">
        <v>99</v>
      </c>
    </row>
    <row r="110" customFormat="false" ht="12.8" hidden="false" customHeight="false" outlineLevel="0" collapsed="false">
      <c r="C110" s="0" t="s">
        <v>100</v>
      </c>
      <c r="D110" s="2" t="n">
        <f aca="false">D109</f>
        <v>20211007</v>
      </c>
      <c r="E110" s="0" t="s">
        <v>101</v>
      </c>
    </row>
    <row r="111" customFormat="false" ht="12.8" hidden="false" customHeight="false" outlineLevel="0" collapsed="false">
      <c r="C111" s="0" t="s">
        <v>102</v>
      </c>
      <c r="D111" s="2" t="n">
        <v>20211014</v>
      </c>
      <c r="E111" s="0" t="s">
        <v>103</v>
      </c>
    </row>
    <row r="112" customFormat="false" ht="12.8" hidden="false" customHeight="false" outlineLevel="0" collapsed="false">
      <c r="E112" s="0" t="s">
        <v>104</v>
      </c>
    </row>
    <row r="113" customFormat="false" ht="12.8" hidden="false" customHeight="false" outlineLevel="0" collapsed="false">
      <c r="E113" s="0" t="s">
        <v>105</v>
      </c>
    </row>
    <row r="114" customFormat="false" ht="12.8" hidden="false" customHeight="false" outlineLevel="0" collapsed="false">
      <c r="E114" s="0" t="s">
        <v>106</v>
      </c>
    </row>
    <row r="115" customFormat="false" ht="12.8" hidden="false" customHeight="false" outlineLevel="0" collapsed="false">
      <c r="C115" s="0" t="s">
        <v>107</v>
      </c>
      <c r="D115" s="2" t="n">
        <v>20211015</v>
      </c>
      <c r="E115" s="0" t="s">
        <v>108</v>
      </c>
    </row>
    <row r="116" customFormat="false" ht="12.8" hidden="false" customHeight="false" outlineLevel="0" collapsed="false">
      <c r="C116" s="0" t="s">
        <v>109</v>
      </c>
      <c r="D116" s="2" t="n">
        <v>20211015</v>
      </c>
      <c r="E116" s="0" t="s">
        <v>110</v>
      </c>
    </row>
    <row r="117" customFormat="false" ht="12.8" hidden="false" customHeight="false" outlineLevel="0" collapsed="false">
      <c r="C117" s="0" t="s">
        <v>111</v>
      </c>
      <c r="D117" s="2" t="n">
        <v>20211015</v>
      </c>
      <c r="E117" s="0" t="s">
        <v>112</v>
      </c>
    </row>
    <row r="118" customFormat="false" ht="12.8" hidden="false" customHeight="false" outlineLevel="0" collapsed="false">
      <c r="C118" s="0" t="s">
        <v>113</v>
      </c>
      <c r="D118" s="2" t="n">
        <v>20211015</v>
      </c>
      <c r="E118" s="0" t="s">
        <v>114</v>
      </c>
    </row>
    <row r="119" customFormat="false" ht="12.8" hidden="false" customHeight="false" outlineLevel="0" collapsed="false">
      <c r="C119" s="0" t="s">
        <v>115</v>
      </c>
      <c r="D119" s="2" t="n">
        <v>20211016</v>
      </c>
      <c r="E119" s="0" t="s">
        <v>116</v>
      </c>
    </row>
    <row r="120" customFormat="false" ht="12.8" hidden="false" customHeight="false" outlineLevel="0" collapsed="false">
      <c r="C120" s="0" t="s">
        <v>117</v>
      </c>
      <c r="D120" s="2" t="n">
        <v>20211016</v>
      </c>
      <c r="E120" s="0" t="s">
        <v>118</v>
      </c>
    </row>
    <row r="121" customFormat="false" ht="12.8" hidden="false" customHeight="false" outlineLevel="0" collapsed="false">
      <c r="C121" s="0" t="s">
        <v>119</v>
      </c>
      <c r="D121" s="2" t="n">
        <v>20211016</v>
      </c>
      <c r="E121" s="0" t="s">
        <v>120</v>
      </c>
    </row>
    <row r="122" customFormat="false" ht="12.8" hidden="false" customHeight="false" outlineLevel="0" collapsed="false">
      <c r="C122" s="0" t="s">
        <v>121</v>
      </c>
      <c r="D122" s="2" t="n">
        <v>20211017</v>
      </c>
      <c r="E122" s="0" t="s">
        <v>122</v>
      </c>
    </row>
    <row r="123" customFormat="false" ht="12.8" hidden="false" customHeight="false" outlineLevel="0" collapsed="false">
      <c r="C123" s="0" t="s">
        <v>123</v>
      </c>
      <c r="D123" s="2" t="n">
        <v>20211018</v>
      </c>
      <c r="E123" s="0" t="s">
        <v>124</v>
      </c>
    </row>
    <row r="124" customFormat="false" ht="12.8" hidden="false" customHeight="false" outlineLevel="0" collapsed="false">
      <c r="C124" s="0" t="s">
        <v>125</v>
      </c>
      <c r="D124" s="2" t="n">
        <v>20211019</v>
      </c>
      <c r="E124" s="0" t="s">
        <v>126</v>
      </c>
    </row>
    <row r="125" customFormat="false" ht="12.8" hidden="false" customHeight="false" outlineLevel="0" collapsed="false">
      <c r="E125" s="3" t="s">
        <v>127</v>
      </c>
    </row>
    <row r="126" customFormat="false" ht="12.8" hidden="false" customHeight="false" outlineLevel="0" collapsed="false">
      <c r="E126" s="0" t="s">
        <v>128</v>
      </c>
    </row>
    <row r="127" customFormat="false" ht="12.8" hidden="false" customHeight="false" outlineLevel="0" collapsed="false">
      <c r="E127" s="0" t="s">
        <v>129</v>
      </c>
    </row>
    <row r="128" customFormat="false" ht="12.8" hidden="false" customHeight="false" outlineLevel="0" collapsed="false">
      <c r="E128" s="0" t="s">
        <v>130</v>
      </c>
    </row>
    <row r="129" customFormat="false" ht="12.8" hidden="false" customHeight="false" outlineLevel="0" collapsed="false">
      <c r="E129" s="0" t="s">
        <v>131</v>
      </c>
    </row>
    <row r="130" customFormat="false" ht="12.8" hidden="false" customHeight="false" outlineLevel="0" collapsed="false">
      <c r="E130" s="0" t="s">
        <v>132</v>
      </c>
    </row>
    <row r="131" customFormat="false" ht="12.8" hidden="false" customHeight="false" outlineLevel="0" collapsed="false">
      <c r="C131" s="0" t="s">
        <v>133</v>
      </c>
      <c r="D131" s="2" t="n">
        <v>20211020</v>
      </c>
      <c r="E131" s="0" t="s">
        <v>134</v>
      </c>
    </row>
    <row r="132" customFormat="false" ht="12.8" hidden="false" customHeight="false" outlineLevel="0" collapsed="false">
      <c r="C132" s="0" t="s">
        <v>135</v>
      </c>
      <c r="D132" s="2" t="n">
        <v>20211022</v>
      </c>
      <c r="E132" s="0" t="s">
        <v>136</v>
      </c>
    </row>
    <row r="133" customFormat="false" ht="12.8" hidden="false" customHeight="false" outlineLevel="0" collapsed="false">
      <c r="E133" s="0" t="s">
        <v>137</v>
      </c>
    </row>
    <row r="134" customFormat="false" ht="12.8" hidden="false" customHeight="false" outlineLevel="0" collapsed="false">
      <c r="E134" s="0" t="s">
        <v>138</v>
      </c>
    </row>
    <row r="135" customFormat="false" ht="12.8" hidden="false" customHeight="false" outlineLevel="0" collapsed="false">
      <c r="E135" s="0" t="s">
        <v>139</v>
      </c>
    </row>
    <row r="136" customFormat="false" ht="12.8" hidden="false" customHeight="false" outlineLevel="0" collapsed="false">
      <c r="C136" s="0" t="s">
        <v>140</v>
      </c>
      <c r="D136" s="2" t="n">
        <v>20211029</v>
      </c>
      <c r="E136" s="0" t="s">
        <v>141</v>
      </c>
    </row>
    <row r="137" customFormat="false" ht="12.8" hidden="false" customHeight="false" outlineLevel="0" collapsed="false">
      <c r="C137" s="0" t="s">
        <v>142</v>
      </c>
      <c r="D137" s="2" t="n">
        <v>20211105</v>
      </c>
      <c r="E137" s="0" t="s">
        <v>143</v>
      </c>
    </row>
    <row r="138" customFormat="false" ht="12.8" hidden="false" customHeight="false" outlineLevel="0" collapsed="false">
      <c r="E138" s="0" t="s">
        <v>144</v>
      </c>
    </row>
    <row r="139" customFormat="false" ht="12.8" hidden="false" customHeight="false" outlineLevel="0" collapsed="false">
      <c r="E139" s="0" t="s">
        <v>145</v>
      </c>
    </row>
    <row r="140" customFormat="false" ht="12.8" hidden="false" customHeight="false" outlineLevel="0" collapsed="false">
      <c r="C140" s="0" t="s">
        <v>146</v>
      </c>
      <c r="D140" s="2" t="n">
        <v>20211117</v>
      </c>
      <c r="E140" s="0" t="s">
        <v>147</v>
      </c>
    </row>
    <row r="141" customFormat="false" ht="12.8" hidden="false" customHeight="false" outlineLevel="0" collapsed="false">
      <c r="C141" s="0" t="s">
        <v>148</v>
      </c>
      <c r="D141" s="2" t="n">
        <v>20220110</v>
      </c>
      <c r="E141" s="0" t="s">
        <v>149</v>
      </c>
    </row>
    <row r="142" customFormat="false" ht="12.8" hidden="false" customHeight="false" outlineLevel="0" collapsed="false">
      <c r="E142" s="0" t="s">
        <v>150</v>
      </c>
    </row>
    <row r="143" customFormat="false" ht="12.8" hidden="false" customHeight="false" outlineLevel="0" collapsed="false">
      <c r="E143" s="0" t="s">
        <v>151</v>
      </c>
    </row>
    <row r="144" customFormat="false" ht="12.8" hidden="false" customHeight="false" outlineLevel="0" collapsed="false">
      <c r="C144" s="0" t="s">
        <v>152</v>
      </c>
      <c r="D144" s="2" t="n">
        <v>20220111</v>
      </c>
      <c r="E144" s="0" t="s">
        <v>153</v>
      </c>
    </row>
    <row r="145" customFormat="false" ht="12.8" hidden="false" customHeight="false" outlineLevel="0" collapsed="false">
      <c r="C145" s="0" t="s">
        <v>154</v>
      </c>
      <c r="D145" s="2" t="n">
        <v>20220112</v>
      </c>
      <c r="E145" s="0" t="s">
        <v>155</v>
      </c>
    </row>
    <row r="146" customFormat="false" ht="12.8" hidden="false" customHeight="false" outlineLevel="0" collapsed="false">
      <c r="E146" s="0" t="s">
        <v>156</v>
      </c>
    </row>
    <row r="147" customFormat="false" ht="12.8" hidden="false" customHeight="false" outlineLevel="0" collapsed="false">
      <c r="C147" s="0" t="s">
        <v>157</v>
      </c>
      <c r="D147" s="2" t="n">
        <v>20220113</v>
      </c>
      <c r="E147" s="0" t="s">
        <v>158</v>
      </c>
    </row>
    <row r="148" customFormat="false" ht="12.8" hidden="false" customHeight="false" outlineLevel="0" collapsed="false">
      <c r="E148" s="0" t="s">
        <v>159</v>
      </c>
    </row>
    <row r="149" customFormat="false" ht="12.8" hidden="false" customHeight="false" outlineLevel="0" collapsed="false">
      <c r="E149" s="0" t="s">
        <v>160</v>
      </c>
    </row>
    <row r="150" customFormat="false" ht="12.8" hidden="false" customHeight="false" outlineLevel="0" collapsed="false">
      <c r="C150" s="0" t="s">
        <v>161</v>
      </c>
      <c r="D150" s="2" t="n">
        <v>20220114</v>
      </c>
      <c r="E150" s="0" t="s">
        <v>162</v>
      </c>
    </row>
    <row r="151" customFormat="false" ht="12.8" hidden="false" customHeight="false" outlineLevel="0" collapsed="false">
      <c r="E151" s="0" t="s">
        <v>163</v>
      </c>
    </row>
    <row r="152" customFormat="false" ht="12.8" hidden="false" customHeight="false" outlineLevel="0" collapsed="false">
      <c r="E152" s="0" t="s">
        <v>164</v>
      </c>
    </row>
    <row r="153" customFormat="false" ht="12.8" hidden="false" customHeight="false" outlineLevel="0" collapsed="false">
      <c r="E153" s="0" t="s">
        <v>165</v>
      </c>
    </row>
    <row r="154" customFormat="false" ht="12.8" hidden="false" customHeight="false" outlineLevel="0" collapsed="false">
      <c r="C154" s="0" t="s">
        <v>166</v>
      </c>
      <c r="D154" s="2" t="n">
        <v>20220115</v>
      </c>
      <c r="E154" s="0" t="s">
        <v>167</v>
      </c>
    </row>
    <row r="155" customFormat="false" ht="12.8" hidden="false" customHeight="false" outlineLevel="0" collapsed="false">
      <c r="C155" s="0" t="s">
        <v>168</v>
      </c>
      <c r="D155" s="2" t="n">
        <v>20220116</v>
      </c>
      <c r="E155" s="0" t="s">
        <v>169</v>
      </c>
    </row>
    <row r="156" customFormat="false" ht="12.8" hidden="false" customHeight="false" outlineLevel="0" collapsed="false">
      <c r="C156" s="0" t="s">
        <v>170</v>
      </c>
      <c r="D156" s="2" t="n">
        <v>20220117</v>
      </c>
      <c r="E156" s="0" t="s">
        <v>171</v>
      </c>
    </row>
    <row r="157" customFormat="false" ht="12.8" hidden="false" customHeight="false" outlineLevel="0" collapsed="false">
      <c r="C157" s="0" t="s">
        <v>172</v>
      </c>
      <c r="D157" s="2" t="n">
        <v>20220118</v>
      </c>
      <c r="E157" s="0" t="s">
        <v>173</v>
      </c>
    </row>
    <row r="158" customFormat="false" ht="12.8" hidden="false" customHeight="false" outlineLevel="0" collapsed="false">
      <c r="E158" s="0" t="s">
        <v>174</v>
      </c>
    </row>
    <row r="159" customFormat="false" ht="12.8" hidden="false" customHeight="false" outlineLevel="0" collapsed="false">
      <c r="E159" s="0" t="s">
        <v>175</v>
      </c>
    </row>
    <row r="160" customFormat="false" ht="12.8" hidden="false" customHeight="false" outlineLevel="0" collapsed="false">
      <c r="E160" s="0" t="s">
        <v>176</v>
      </c>
    </row>
    <row r="161" customFormat="false" ht="12.8" hidden="false" customHeight="false" outlineLevel="0" collapsed="false">
      <c r="E161" s="0" t="s">
        <v>177</v>
      </c>
    </row>
    <row r="162" customFormat="false" ht="12.8" hidden="false" customHeight="false" outlineLevel="0" collapsed="false">
      <c r="E162" s="0" t="s">
        <v>178</v>
      </c>
    </row>
    <row r="163" customFormat="false" ht="12.8" hidden="false" customHeight="false" outlineLevel="0" collapsed="false">
      <c r="C163" s="0" t="s">
        <v>179</v>
      </c>
      <c r="D163" s="2" t="n">
        <v>20220119</v>
      </c>
      <c r="E163" s="0" t="s">
        <v>180</v>
      </c>
    </row>
    <row r="164" customFormat="false" ht="12.8" hidden="false" customHeight="false" outlineLevel="0" collapsed="false">
      <c r="C164" s="0" t="s">
        <v>181</v>
      </c>
      <c r="D164" s="2" t="n">
        <v>20220126</v>
      </c>
      <c r="E164" s="0" t="s">
        <v>182</v>
      </c>
    </row>
    <row r="165" customFormat="false" ht="12.8" hidden="false" customHeight="false" outlineLevel="0" collapsed="false">
      <c r="C165" s="0" t="s">
        <v>183</v>
      </c>
      <c r="D165" s="2" t="n">
        <v>20220127</v>
      </c>
      <c r="E165" s="0" t="s">
        <v>184</v>
      </c>
    </row>
    <row r="166" customFormat="false" ht="12.8" hidden="false" customHeight="false" outlineLevel="0" collapsed="false">
      <c r="C166" s="0" t="s">
        <v>185</v>
      </c>
      <c r="D166" s="2" t="n">
        <v>20220201</v>
      </c>
      <c r="E166" s="0" t="s">
        <v>186</v>
      </c>
    </row>
    <row r="167" customFormat="false" ht="12.8" hidden="false" customHeight="false" outlineLevel="0" collapsed="false">
      <c r="E167" s="0" t="s">
        <v>187</v>
      </c>
    </row>
    <row r="168" customFormat="false" ht="12.8" hidden="false" customHeight="false" outlineLevel="0" collapsed="false">
      <c r="E168" s="0" t="s">
        <v>188</v>
      </c>
    </row>
    <row r="169" customFormat="false" ht="12.8" hidden="false" customHeight="false" outlineLevel="0" collapsed="false">
      <c r="C169" s="0" t="s">
        <v>189</v>
      </c>
      <c r="D169" s="2" t="n">
        <v>20220208</v>
      </c>
      <c r="E169" s="0" t="s">
        <v>190</v>
      </c>
    </row>
    <row r="170" customFormat="false" ht="12.8" hidden="false" customHeight="false" outlineLevel="0" collapsed="false">
      <c r="C170" s="0" t="s">
        <v>191</v>
      </c>
      <c r="D170" s="2" t="n">
        <v>20220209</v>
      </c>
      <c r="E170" s="0" t="s">
        <v>192</v>
      </c>
    </row>
    <row r="171" customFormat="false" ht="12.8" hidden="false" customHeight="false" outlineLevel="0" collapsed="false">
      <c r="C171" s="0" t="s">
        <v>193</v>
      </c>
      <c r="D171" s="2" t="n">
        <v>20220209</v>
      </c>
      <c r="E171" s="0" t="s">
        <v>194</v>
      </c>
    </row>
    <row r="172" customFormat="false" ht="12.8" hidden="false" customHeight="false" outlineLevel="0" collapsed="false">
      <c r="C172" s="0" t="s">
        <v>195</v>
      </c>
      <c r="D172" s="2" t="n">
        <v>20220210</v>
      </c>
      <c r="E172" s="0" t="s">
        <v>196</v>
      </c>
    </row>
    <row r="173" customFormat="false" ht="12.8" hidden="false" customHeight="false" outlineLevel="0" collapsed="false">
      <c r="C173" s="0" t="s">
        <v>197</v>
      </c>
      <c r="D173" s="2" t="n">
        <v>20220211</v>
      </c>
      <c r="E173" s="0" t="s">
        <v>198</v>
      </c>
    </row>
    <row r="174" customFormat="false" ht="12.8" hidden="false" customHeight="false" outlineLevel="0" collapsed="false">
      <c r="E174" s="0" t="s">
        <v>199</v>
      </c>
    </row>
    <row r="175" customFormat="false" ht="12.8" hidden="false" customHeight="false" outlineLevel="0" collapsed="false">
      <c r="C175" s="0" t="s">
        <v>200</v>
      </c>
      <c r="D175" s="2" t="n">
        <v>20220214</v>
      </c>
      <c r="E175" s="0" t="s">
        <v>201</v>
      </c>
    </row>
    <row r="176" customFormat="false" ht="12.8" hidden="false" customHeight="false" outlineLevel="0" collapsed="false">
      <c r="C176" s="0" t="s">
        <v>202</v>
      </c>
      <c r="D176" s="2" t="n">
        <v>20220218</v>
      </c>
      <c r="E176" s="0" t="s">
        <v>203</v>
      </c>
    </row>
    <row r="177" customFormat="false" ht="12.8" hidden="false" customHeight="false" outlineLevel="0" collapsed="false">
      <c r="C177" s="0" t="s">
        <v>204</v>
      </c>
      <c r="D177" s="2" t="n">
        <v>20220222</v>
      </c>
      <c r="E177" s="0" t="s">
        <v>205</v>
      </c>
    </row>
    <row r="178" customFormat="false" ht="12.8" hidden="false" customHeight="false" outlineLevel="0" collapsed="false">
      <c r="C178" s="0" t="s">
        <v>206</v>
      </c>
      <c r="D178" s="2" t="n">
        <v>20220223</v>
      </c>
      <c r="E178" s="0" t="s">
        <v>207</v>
      </c>
    </row>
    <row r="179" customFormat="false" ht="12.8" hidden="false" customHeight="false" outlineLevel="0" collapsed="false">
      <c r="C179" s="0" t="s">
        <v>208</v>
      </c>
      <c r="D179" s="2" t="n">
        <v>20220223</v>
      </c>
      <c r="E179" s="0" t="s">
        <v>209</v>
      </c>
    </row>
    <row r="180" customFormat="false" ht="12.8" hidden="false" customHeight="false" outlineLevel="0" collapsed="false">
      <c r="C180" s="0" t="s">
        <v>210</v>
      </c>
      <c r="D180" s="2" t="n">
        <v>20220224</v>
      </c>
      <c r="E180" s="0" t="s">
        <v>211</v>
      </c>
    </row>
    <row r="181" customFormat="false" ht="12.8" hidden="false" customHeight="false" outlineLevel="0" collapsed="false">
      <c r="E181" s="0" t="s">
        <v>212</v>
      </c>
    </row>
    <row r="182" customFormat="false" ht="12.8" hidden="false" customHeight="false" outlineLevel="0" collapsed="false">
      <c r="E182" s="0" t="s">
        <v>213</v>
      </c>
    </row>
    <row r="183" customFormat="false" ht="12.8" hidden="false" customHeight="false" outlineLevel="0" collapsed="false">
      <c r="C183" s="0" t="s">
        <v>214</v>
      </c>
      <c r="D183" s="2" t="n">
        <v>20220228</v>
      </c>
      <c r="E183" s="0" t="s">
        <v>215</v>
      </c>
    </row>
    <row r="184" customFormat="false" ht="12.8" hidden="false" customHeight="false" outlineLevel="0" collapsed="false">
      <c r="C184" s="0" t="s">
        <v>216</v>
      </c>
      <c r="D184" s="2" t="n">
        <v>20220304</v>
      </c>
      <c r="E184" s="0" t="s">
        <v>217</v>
      </c>
    </row>
    <row r="185" customFormat="false" ht="12.8" hidden="false" customHeight="false" outlineLevel="0" collapsed="false">
      <c r="C185" s="0" t="s">
        <v>218</v>
      </c>
      <c r="D185" s="2" t="n">
        <v>20220306</v>
      </c>
      <c r="E185" s="0" t="s">
        <v>219</v>
      </c>
    </row>
    <row r="186" customFormat="false" ht="12.8" hidden="false" customHeight="false" outlineLevel="0" collapsed="false">
      <c r="E186" s="0" t="s">
        <v>220</v>
      </c>
    </row>
    <row r="187" customFormat="false" ht="12.8" hidden="false" customHeight="false" outlineLevel="0" collapsed="false">
      <c r="C187" s="0" t="s">
        <v>221</v>
      </c>
      <c r="D187" s="2" t="n">
        <v>20220307</v>
      </c>
      <c r="E187" s="0" t="s">
        <v>222</v>
      </c>
    </row>
    <row r="188" customFormat="false" ht="12.8" hidden="false" customHeight="false" outlineLevel="0" collapsed="false">
      <c r="C188" s="0" t="s">
        <v>223</v>
      </c>
      <c r="D188" s="2" t="n">
        <v>20220310</v>
      </c>
      <c r="E188" s="0" t="s">
        <v>224</v>
      </c>
    </row>
    <row r="189" customFormat="false" ht="12.8" hidden="false" customHeight="false" outlineLevel="0" collapsed="false">
      <c r="C189" s="0" t="s">
        <v>225</v>
      </c>
      <c r="D189" s="2" t="n">
        <v>20220314</v>
      </c>
      <c r="E189" s="0" t="s">
        <v>226</v>
      </c>
    </row>
    <row r="190" customFormat="false" ht="12.8" hidden="false" customHeight="false" outlineLevel="0" collapsed="false">
      <c r="E190" s="0" t="s">
        <v>227</v>
      </c>
    </row>
    <row r="191" customFormat="false" ht="12.8" hidden="false" customHeight="false" outlineLevel="0" collapsed="false">
      <c r="C191" s="0" t="s">
        <v>228</v>
      </c>
      <c r="D191" s="2" t="n">
        <v>20220317</v>
      </c>
      <c r="E191" s="0" t="s">
        <v>229</v>
      </c>
    </row>
    <row r="192" customFormat="false" ht="12.8" hidden="false" customHeight="false" outlineLevel="0" collapsed="false">
      <c r="C192" s="0" t="s">
        <v>230</v>
      </c>
      <c r="D192" s="2" t="n">
        <v>20220318</v>
      </c>
      <c r="E192" s="0" t="s">
        <v>231</v>
      </c>
    </row>
    <row r="193" customFormat="false" ht="12.8" hidden="false" customHeight="false" outlineLevel="0" collapsed="false">
      <c r="C193" s="0" t="s">
        <v>232</v>
      </c>
      <c r="D193" s="2" t="n">
        <v>20220324</v>
      </c>
      <c r="E193" s="0" t="s">
        <v>233</v>
      </c>
    </row>
    <row r="194" customFormat="false" ht="12.8" hidden="false" customHeight="false" outlineLevel="0" collapsed="false">
      <c r="C194" s="0" t="s">
        <v>234</v>
      </c>
      <c r="D194" s="2" t="n">
        <v>20220325</v>
      </c>
      <c r="E194" s="0" t="s">
        <v>235</v>
      </c>
    </row>
    <row r="195" customFormat="false" ht="12.8" hidden="false" customHeight="false" outlineLevel="0" collapsed="false">
      <c r="C195" s="0" t="s">
        <v>236</v>
      </c>
      <c r="D195" s="2" t="n">
        <v>20220329</v>
      </c>
      <c r="E195" s="0" t="s">
        <v>237</v>
      </c>
    </row>
    <row r="196" customFormat="false" ht="12.8" hidden="false" customHeight="false" outlineLevel="0" collapsed="false">
      <c r="E196" s="0" t="s">
        <v>238</v>
      </c>
    </row>
    <row r="197" customFormat="false" ht="12.8" hidden="false" customHeight="false" outlineLevel="0" collapsed="false">
      <c r="C197" s="0" t="s">
        <v>239</v>
      </c>
      <c r="D197" s="2" t="n">
        <v>20220330</v>
      </c>
      <c r="E197" s="0" t="s">
        <v>240</v>
      </c>
    </row>
    <row r="198" customFormat="false" ht="12.8" hidden="false" customHeight="false" outlineLevel="0" collapsed="false">
      <c r="C198" s="0" t="s">
        <v>241</v>
      </c>
      <c r="D198" s="2" t="n">
        <v>20220331</v>
      </c>
      <c r="E198" s="0" t="s">
        <v>242</v>
      </c>
    </row>
    <row r="199" customFormat="false" ht="12.8" hidden="false" customHeight="false" outlineLevel="0" collapsed="false">
      <c r="C199" s="0" t="s">
        <v>243</v>
      </c>
      <c r="D199" s="2" t="n">
        <v>20220414</v>
      </c>
      <c r="E199" s="0" t="s">
        <v>244</v>
      </c>
    </row>
    <row r="200" customFormat="false" ht="12.8" hidden="false" customHeight="false" outlineLevel="0" collapsed="false">
      <c r="E200" s="0" t="s">
        <v>245</v>
      </c>
    </row>
    <row r="201" customFormat="false" ht="12.8" hidden="false" customHeight="false" outlineLevel="0" collapsed="false">
      <c r="C201" s="0" t="s">
        <v>246</v>
      </c>
      <c r="D201" s="2" t="n">
        <v>20220415</v>
      </c>
      <c r="E201" s="0" t="s">
        <v>247</v>
      </c>
    </row>
    <row r="202" customFormat="false" ht="12.8" hidden="false" customHeight="false" outlineLevel="0" collapsed="false">
      <c r="C202" s="0" t="s">
        <v>248</v>
      </c>
      <c r="D202" s="2" t="n">
        <v>20220418</v>
      </c>
      <c r="E202" s="0" t="s">
        <v>249</v>
      </c>
    </row>
    <row r="203" customFormat="false" ht="12.8" hidden="false" customHeight="false" outlineLevel="0" collapsed="false">
      <c r="E203" s="0" t="s">
        <v>250</v>
      </c>
    </row>
    <row r="204" customFormat="false" ht="12.8" hidden="false" customHeight="false" outlineLevel="0" collapsed="false">
      <c r="E204" s="3" t="s">
        <v>251</v>
      </c>
    </row>
    <row r="205" customFormat="false" ht="12.8" hidden="false" customHeight="false" outlineLevel="0" collapsed="false">
      <c r="C205" s="0" t="s">
        <v>252</v>
      </c>
      <c r="D205" s="2" t="n">
        <v>20220423</v>
      </c>
      <c r="E205" s="0" t="s">
        <v>253</v>
      </c>
    </row>
    <row r="206" customFormat="false" ht="12.8" hidden="false" customHeight="false" outlineLevel="0" collapsed="false">
      <c r="E206" s="0" t="s">
        <v>254</v>
      </c>
    </row>
    <row r="207" customFormat="false" ht="12.8" hidden="false" customHeight="false" outlineLevel="0" collapsed="false">
      <c r="C207" s="0" t="s">
        <v>255</v>
      </c>
      <c r="D207" s="2" t="n">
        <v>20220425</v>
      </c>
      <c r="E207" s="0" t="s">
        <v>256</v>
      </c>
    </row>
    <row r="208" customFormat="false" ht="12.8" hidden="false" customHeight="false" outlineLevel="0" collapsed="false">
      <c r="E208" s="0" t="s">
        <v>257</v>
      </c>
    </row>
    <row r="209" customFormat="false" ht="12.8" hidden="false" customHeight="false" outlineLevel="0" collapsed="false">
      <c r="C209" s="0" t="s">
        <v>258</v>
      </c>
      <c r="D209" s="2" t="n">
        <v>20220427</v>
      </c>
      <c r="E209" s="0" t="s">
        <v>259</v>
      </c>
    </row>
    <row r="210" customFormat="false" ht="12.8" hidden="false" customHeight="false" outlineLevel="0" collapsed="false">
      <c r="C210" s="0" t="s">
        <v>260</v>
      </c>
      <c r="D210" s="2" t="n">
        <v>20220514</v>
      </c>
      <c r="E210" s="0" t="s">
        <v>261</v>
      </c>
    </row>
    <row r="211" customFormat="false" ht="12.8" hidden="false" customHeight="false" outlineLevel="0" collapsed="false">
      <c r="C211" s="0" t="s">
        <v>262</v>
      </c>
      <c r="D211" s="2" t="n">
        <v>20220525</v>
      </c>
      <c r="E211" s="0" t="s">
        <v>263</v>
      </c>
    </row>
    <row r="212" customFormat="false" ht="12.8" hidden="false" customHeight="false" outlineLevel="0" collapsed="false">
      <c r="C212" s="0" t="s">
        <v>264</v>
      </c>
      <c r="D212" s="2" t="n">
        <v>20220529</v>
      </c>
      <c r="E212" s="0" t="s">
        <v>265</v>
      </c>
    </row>
    <row r="213" customFormat="false" ht="12.8" hidden="false" customHeight="false" outlineLevel="0" collapsed="false">
      <c r="E213" s="0" t="s">
        <v>266</v>
      </c>
    </row>
    <row r="214" customFormat="false" ht="12.8" hidden="false" customHeight="false" outlineLevel="0" collapsed="false">
      <c r="C214" s="0" t="s">
        <v>267</v>
      </c>
      <c r="D214" s="2" t="n">
        <v>20220530</v>
      </c>
      <c r="E214" s="0" t="s">
        <v>268</v>
      </c>
    </row>
    <row r="215" customFormat="false" ht="12.8" hidden="false" customHeight="false" outlineLevel="0" collapsed="false">
      <c r="E215" s="0" t="s">
        <v>269</v>
      </c>
    </row>
    <row r="216" customFormat="false" ht="12.8" hidden="false" customHeight="false" outlineLevel="0" collapsed="false">
      <c r="E216" s="12" t="s">
        <v>270</v>
      </c>
    </row>
    <row r="217" customFormat="false" ht="12.8" hidden="false" customHeight="false" outlineLevel="0" collapsed="false">
      <c r="C217" s="0" t="s">
        <v>271</v>
      </c>
      <c r="D217" s="2" t="n">
        <v>20220603</v>
      </c>
      <c r="E217" s="0" t="s">
        <v>272</v>
      </c>
    </row>
    <row r="218" customFormat="false" ht="12.8" hidden="false" customHeight="false" outlineLevel="0" collapsed="false">
      <c r="C218" s="0" t="s">
        <v>273</v>
      </c>
      <c r="D218" s="2" t="n">
        <v>20220608</v>
      </c>
      <c r="E218" s="0" t="s">
        <v>274</v>
      </c>
    </row>
    <row r="219" customFormat="false" ht="12.8" hidden="false" customHeight="false" outlineLevel="0" collapsed="false">
      <c r="C219" s="0" t="s">
        <v>275</v>
      </c>
      <c r="D219" s="2" t="n">
        <v>20220814</v>
      </c>
      <c r="E219" s="0" t="s">
        <v>276</v>
      </c>
    </row>
    <row r="220" customFormat="false" ht="12.8" hidden="false" customHeight="false" outlineLevel="0" collapsed="false">
      <c r="C220" s="0" t="s">
        <v>277</v>
      </c>
      <c r="D220" s="2" t="n">
        <v>20220903</v>
      </c>
      <c r="E220" s="0" t="s">
        <v>278</v>
      </c>
    </row>
    <row r="221" customFormat="false" ht="12.8" hidden="false" customHeight="false" outlineLevel="0" collapsed="false">
      <c r="C221" s="0" t="s">
        <v>279</v>
      </c>
      <c r="D221" s="2" t="n">
        <v>20221106</v>
      </c>
      <c r="E221" s="0" t="s">
        <v>280</v>
      </c>
    </row>
    <row r="222" customFormat="false" ht="12.8" hidden="false" customHeight="false" outlineLevel="0" collapsed="false">
      <c r="E222" s="0" t="s">
        <v>281</v>
      </c>
    </row>
    <row r="223" customFormat="false" ht="12.8" hidden="false" customHeight="false" outlineLevel="0" collapsed="false">
      <c r="E223" s="0" t="s">
        <v>282</v>
      </c>
    </row>
    <row r="224" customFormat="false" ht="12.8" hidden="false" customHeight="false" outlineLevel="0" collapsed="false">
      <c r="C224" s="0" t="s">
        <v>283</v>
      </c>
      <c r="D224" s="2" t="n">
        <v>20221109</v>
      </c>
      <c r="E224" s="0" t="s">
        <v>284</v>
      </c>
    </row>
    <row r="225" customFormat="false" ht="12.8" hidden="false" customHeight="false" outlineLevel="0" collapsed="false">
      <c r="C225" s="0" t="s">
        <v>285</v>
      </c>
      <c r="D225" s="2" t="n">
        <v>20221116</v>
      </c>
      <c r="E225" s="0" t="s">
        <v>286</v>
      </c>
    </row>
    <row r="226" customFormat="false" ht="12.8" hidden="false" customHeight="false" outlineLevel="0" collapsed="false">
      <c r="D226" s="2" t="n">
        <v>20221128</v>
      </c>
      <c r="E226" s="0" t="s">
        <v>287</v>
      </c>
    </row>
    <row r="227" customFormat="false" ht="12.8" hidden="false" customHeight="false" outlineLevel="0" collapsed="false">
      <c r="E227" s="0" t="s">
        <v>288</v>
      </c>
    </row>
    <row r="228" customFormat="false" ht="12.8" hidden="false" customHeight="false" outlineLevel="0" collapsed="false">
      <c r="C228" s="0" t="s">
        <v>289</v>
      </c>
      <c r="D228" s="2" t="n">
        <v>20221129</v>
      </c>
      <c r="E228" s="0" t="s">
        <v>290</v>
      </c>
    </row>
    <row r="229" customFormat="false" ht="12.8" hidden="false" customHeight="false" outlineLevel="0" collapsed="false">
      <c r="C229" s="0" t="s">
        <v>291</v>
      </c>
      <c r="D229" s="2" t="n">
        <v>20221130</v>
      </c>
      <c r="E229" s="0" t="s">
        <v>292</v>
      </c>
    </row>
    <row r="230" customFormat="false" ht="12.8" hidden="false" customHeight="false" outlineLevel="0" collapsed="false">
      <c r="C230" s="0" t="s">
        <v>293</v>
      </c>
      <c r="D230" s="2" t="n">
        <v>20221204</v>
      </c>
      <c r="E230" s="0" t="s">
        <v>294</v>
      </c>
    </row>
    <row r="231" customFormat="false" ht="12.8" hidden="false" customHeight="false" outlineLevel="0" collapsed="false">
      <c r="C231" s="0" t="s">
        <v>295</v>
      </c>
      <c r="D231" s="2" t="n">
        <v>20221207</v>
      </c>
      <c r="E231" s="0" t="s">
        <v>296</v>
      </c>
    </row>
    <row r="232" customFormat="false" ht="12.8" hidden="false" customHeight="false" outlineLevel="0" collapsed="false">
      <c r="C232" s="0" t="s">
        <v>297</v>
      </c>
      <c r="D232" s="2" t="n">
        <v>20230103</v>
      </c>
      <c r="E232" s="0" t="s">
        <v>298</v>
      </c>
    </row>
    <row r="233" customFormat="false" ht="12.8" hidden="false" customHeight="false" outlineLevel="0" collapsed="false">
      <c r="C233" s="0" t="s">
        <v>299</v>
      </c>
      <c r="D233" s="2" t="n">
        <v>20230110</v>
      </c>
      <c r="E233" s="0" t="s">
        <v>300</v>
      </c>
    </row>
    <row r="234" customFormat="false" ht="12.8" hidden="false" customHeight="false" outlineLevel="0" collapsed="false">
      <c r="C234" s="0" t="s">
        <v>301</v>
      </c>
      <c r="D234" s="2" t="n">
        <v>20230115</v>
      </c>
      <c r="E234" s="0" t="s">
        <v>302</v>
      </c>
    </row>
    <row r="235" customFormat="false" ht="12.8" hidden="false" customHeight="false" outlineLevel="0" collapsed="false">
      <c r="E235" s="0" t="s">
        <v>303</v>
      </c>
    </row>
    <row r="236" customFormat="false" ht="12.8" hidden="false" customHeight="false" outlineLevel="0" collapsed="false">
      <c r="E236" s="0" t="s">
        <v>304</v>
      </c>
    </row>
    <row r="237" customFormat="false" ht="12.8" hidden="false" customHeight="false" outlineLevel="0" collapsed="false">
      <c r="C237" s="0" t="s">
        <v>305</v>
      </c>
      <c r="D237" s="2" t="n">
        <v>20230117</v>
      </c>
      <c r="E237" s="0" t="s">
        <v>306</v>
      </c>
    </row>
    <row r="238" customFormat="false" ht="12.8" hidden="false" customHeight="false" outlineLevel="0" collapsed="false">
      <c r="D238" s="2" t="n">
        <v>20230121</v>
      </c>
      <c r="E238" s="0" t="s">
        <v>307</v>
      </c>
    </row>
    <row r="239" customFormat="false" ht="12.8" hidden="false" customHeight="false" outlineLevel="0" collapsed="false">
      <c r="C239" s="0" t="s">
        <v>308</v>
      </c>
      <c r="D239" s="2" t="n">
        <v>20230215</v>
      </c>
      <c r="E239" s="0" t="s">
        <v>309</v>
      </c>
    </row>
    <row r="240" customFormat="false" ht="12.8" hidden="false" customHeight="false" outlineLevel="0" collapsed="false">
      <c r="C240" s="0" t="s">
        <v>310</v>
      </c>
      <c r="D240" s="2" t="n">
        <v>20230226</v>
      </c>
      <c r="E240" s="0" t="s">
        <v>311</v>
      </c>
    </row>
    <row r="241" customFormat="false" ht="12.8" hidden="false" customHeight="false" outlineLevel="0" collapsed="false">
      <c r="C241" s="0" t="s">
        <v>312</v>
      </c>
      <c r="D241" s="2" t="n">
        <v>20230326</v>
      </c>
      <c r="E241" s="0" t="s">
        <v>313</v>
      </c>
    </row>
    <row r="242" customFormat="false" ht="12.8" hidden="false" customHeight="false" outlineLevel="0" collapsed="false">
      <c r="C242" s="0" t="s">
        <v>314</v>
      </c>
      <c r="D242" s="2" t="n">
        <v>20230603</v>
      </c>
      <c r="E242" s="0" t="s">
        <v>315</v>
      </c>
    </row>
    <row r="243" customFormat="false" ht="12.8" hidden="false" customHeight="false" outlineLevel="0" collapsed="false">
      <c r="C243" s="0" t="s">
        <v>316</v>
      </c>
      <c r="D243" s="2" t="n">
        <v>20230606</v>
      </c>
      <c r="E243" s="0" t="s">
        <v>317</v>
      </c>
    </row>
    <row r="244" customFormat="false" ht="12.8" hidden="false" customHeight="false" outlineLevel="0" collapsed="false">
      <c r="E244" s="0" t="s">
        <v>318</v>
      </c>
    </row>
    <row r="245" customFormat="false" ht="12.8" hidden="false" customHeight="false" outlineLevel="0" collapsed="false">
      <c r="E245" s="0" t="s">
        <v>319</v>
      </c>
    </row>
    <row r="246" customFormat="false" ht="12.8" hidden="false" customHeight="false" outlineLevel="0" collapsed="false">
      <c r="C246" s="0" t="s">
        <v>320</v>
      </c>
      <c r="D246" s="2" t="n">
        <v>20230607</v>
      </c>
      <c r="E246" s="0" t="s">
        <v>321</v>
      </c>
    </row>
    <row r="247" customFormat="false" ht="12.8" hidden="false" customHeight="false" outlineLevel="0" collapsed="false">
      <c r="C247" s="0" t="s">
        <v>322</v>
      </c>
      <c r="D247" s="2" t="n">
        <v>20230624</v>
      </c>
      <c r="E247" s="0" t="s">
        <v>323</v>
      </c>
    </row>
    <row r="248" customFormat="false" ht="12.8" hidden="false" customHeight="false" outlineLevel="0" collapsed="false">
      <c r="C248" s="0" t="s">
        <v>324</v>
      </c>
      <c r="D248" s="2" t="n">
        <v>20230724</v>
      </c>
      <c r="E248" s="0" t="s">
        <v>325</v>
      </c>
    </row>
    <row r="249" customFormat="false" ht="12.8" hidden="false" customHeight="false" outlineLevel="0" collapsed="false">
      <c r="C249" s="0" t="s">
        <v>326</v>
      </c>
      <c r="D249" s="2" t="n">
        <v>20230910</v>
      </c>
      <c r="E249" s="0" t="s">
        <v>327</v>
      </c>
    </row>
    <row r="250" customFormat="false" ht="12.8" hidden="false" customHeight="false" outlineLevel="0" collapsed="false">
      <c r="C250" s="0" t="s">
        <v>326</v>
      </c>
      <c r="D250" s="2" t="n">
        <v>20230915</v>
      </c>
      <c r="E250" s="0" t="s">
        <v>328</v>
      </c>
    </row>
    <row r="251" customFormat="false" ht="12.8" hidden="false" customHeight="false" outlineLevel="0" collapsed="false">
      <c r="C251" s="0" t="s">
        <v>329</v>
      </c>
      <c r="D251" s="2" t="n">
        <v>20231216</v>
      </c>
      <c r="E251" s="0" t="s">
        <v>330</v>
      </c>
    </row>
    <row r="252" customFormat="false" ht="12.8" hidden="false" customHeight="false" outlineLevel="0" collapsed="false">
      <c r="C252" s="0" t="s">
        <v>331</v>
      </c>
      <c r="D252" s="2" t="n">
        <v>20240212</v>
      </c>
      <c r="E252" s="0" t="s">
        <v>332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36"/>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AG5" activeCellId="0" sqref="AG5"/>
    </sheetView>
  </sheetViews>
  <sheetFormatPr defaultColWidth="16.1484375" defaultRowHeight="12.8" zeroHeight="false" outlineLevelRow="1" outlineLevelCol="1"/>
  <cols>
    <col collapsed="false" customWidth="true" hidden="false" outlineLevel="0" max="1" min="1" style="2" width="1.8"/>
    <col collapsed="false" customWidth="true" hidden="false" outlineLevel="1" max="2" min="2" style="2" width="4.17"/>
    <col collapsed="false" customWidth="true" hidden="false" outlineLevel="1" max="3" min="3" style="2" width="11.11"/>
    <col collapsed="false" customWidth="true" hidden="false" outlineLevel="1" max="4" min="4" style="2" width="8.18"/>
    <col collapsed="false" customWidth="true" hidden="false" outlineLevel="0" max="5" min="5" style="31" width="8.18"/>
    <col collapsed="false" customWidth="true" hidden="false" outlineLevel="0" max="6" min="6" style="31" width="7.71"/>
    <col collapsed="false" customWidth="true" hidden="false" outlineLevel="0" max="7" min="7" style="31" width="8.48"/>
    <col collapsed="false" customWidth="true" hidden="false" outlineLevel="0" max="8" min="8" style="2" width="25.47"/>
    <col collapsed="false" customWidth="true" hidden="false" outlineLevel="0" max="9" min="9" style="2" width="25.93"/>
    <col collapsed="false" customWidth="true" hidden="false" outlineLevel="0" max="10" min="10" style="2" width="12.78"/>
    <col collapsed="false" customWidth="true" hidden="false" outlineLevel="0" max="11" min="11" style="31" width="5.86"/>
    <col collapsed="false" customWidth="true" hidden="false" outlineLevel="0" max="12" min="12" style="31" width="6.35"/>
    <col collapsed="false" customWidth="true" hidden="false" outlineLevel="0" max="13" min="13" style="31" width="8.64"/>
    <col collapsed="false" customWidth="true" hidden="false" outlineLevel="0" max="19" min="14" style="31" width="4.78"/>
    <col collapsed="false" customWidth="true" hidden="false" outlineLevel="0" max="31" min="20" style="31" width="3.85"/>
    <col collapsed="false" customWidth="true" hidden="false" outlineLevel="0" max="32" min="32" style="2" width="27.62"/>
    <col collapsed="false" customWidth="true" hidden="false" outlineLevel="0" max="33" min="33" style="0" width="2.54"/>
  </cols>
  <sheetData>
    <row r="1" s="38" customFormat="true" ht="81.3" hidden="false" customHeight="true" outlineLevel="1" collapsed="false">
      <c r="A1" s="36" t="s">
        <v>782</v>
      </c>
      <c r="B1" s="36" t="s">
        <v>783</v>
      </c>
      <c r="C1" s="36" t="s">
        <v>784</v>
      </c>
      <c r="D1" s="36" t="s">
        <v>785</v>
      </c>
      <c r="E1" s="36" t="s">
        <v>786</v>
      </c>
      <c r="F1" s="36" t="s">
        <v>787</v>
      </c>
      <c r="G1" s="36" t="s">
        <v>788</v>
      </c>
      <c r="H1" s="36" t="s">
        <v>789</v>
      </c>
      <c r="I1" s="35" t="s">
        <v>673</v>
      </c>
      <c r="J1" s="116" t="s">
        <v>790</v>
      </c>
      <c r="K1" s="34" t="s">
        <v>791</v>
      </c>
      <c r="L1" s="86"/>
      <c r="M1" s="86" t="s">
        <v>792</v>
      </c>
      <c r="N1" s="36" t="s">
        <v>793</v>
      </c>
      <c r="O1" s="36" t="s">
        <v>793</v>
      </c>
      <c r="P1" s="36" t="s">
        <v>793</v>
      </c>
      <c r="Q1" s="36" t="s">
        <v>793</v>
      </c>
      <c r="R1" s="36" t="s">
        <v>793</v>
      </c>
      <c r="S1" s="36" t="s">
        <v>794</v>
      </c>
      <c r="T1" s="36" t="s">
        <v>795</v>
      </c>
      <c r="U1" s="36" t="s">
        <v>795</v>
      </c>
      <c r="V1" s="36" t="s">
        <v>795</v>
      </c>
      <c r="W1" s="36" t="s">
        <v>795</v>
      </c>
      <c r="X1" s="36" t="s">
        <v>795</v>
      </c>
      <c r="Y1" s="36" t="s">
        <v>795</v>
      </c>
      <c r="Z1" s="36" t="s">
        <v>795</v>
      </c>
      <c r="AA1" s="36" t="s">
        <v>795</v>
      </c>
      <c r="AB1" s="36" t="s">
        <v>795</v>
      </c>
      <c r="AC1" s="36" t="s">
        <v>795</v>
      </c>
      <c r="AD1" s="36" t="s">
        <v>795</v>
      </c>
      <c r="AE1" s="36" t="s">
        <v>795</v>
      </c>
      <c r="AF1" s="36" t="s">
        <v>796</v>
      </c>
      <c r="AG1" s="36" t="s">
        <v>393</v>
      </c>
      <c r="AMJ1" s="0"/>
    </row>
    <row r="2" s="38" customFormat="true" ht="12.8" hidden="false" customHeight="false" outlineLevel="1" collapsed="false">
      <c r="A2" s="36"/>
      <c r="B2" s="36"/>
      <c r="C2" s="36"/>
      <c r="D2" s="36"/>
      <c r="E2" s="34"/>
      <c r="F2" s="34"/>
      <c r="G2" s="34"/>
      <c r="H2" s="36"/>
      <c r="I2" s="116"/>
      <c r="J2" s="116"/>
      <c r="K2" s="34"/>
      <c r="L2" s="86"/>
      <c r="M2" s="86"/>
      <c r="N2" s="86"/>
      <c r="O2" s="86"/>
      <c r="P2" s="86"/>
      <c r="Q2" s="34"/>
      <c r="R2" s="34"/>
      <c r="S2" s="34"/>
      <c r="T2" s="34"/>
      <c r="U2" s="34"/>
      <c r="V2" s="34"/>
      <c r="W2" s="34"/>
      <c r="X2" s="34"/>
      <c r="Y2" s="34"/>
      <c r="Z2" s="34"/>
      <c r="AA2" s="34"/>
      <c r="AB2" s="34"/>
      <c r="AC2" s="34"/>
      <c r="AD2" s="34"/>
      <c r="AE2" s="34"/>
      <c r="AF2" s="36"/>
      <c r="AG2" s="36"/>
      <c r="AMJ2" s="0"/>
    </row>
    <row r="3" customFormat="false" ht="57.45" hidden="false" customHeight="false" outlineLevel="0" collapsed="false">
      <c r="A3" s="39" t="s">
        <v>394</v>
      </c>
      <c r="B3" s="39" t="s">
        <v>333</v>
      </c>
      <c r="C3" s="39" t="s">
        <v>738</v>
      </c>
      <c r="D3" s="39" t="s">
        <v>797</v>
      </c>
      <c r="E3" s="41" t="s">
        <v>798</v>
      </c>
      <c r="F3" s="41" t="s">
        <v>431</v>
      </c>
      <c r="G3" s="41" t="s">
        <v>627</v>
      </c>
      <c r="H3" s="39" t="s">
        <v>424</v>
      </c>
      <c r="I3" s="39" t="s">
        <v>425</v>
      </c>
      <c r="J3" s="39" t="s">
        <v>433</v>
      </c>
      <c r="K3" s="41" t="s">
        <v>799</v>
      </c>
      <c r="L3" s="98" t="s">
        <v>800</v>
      </c>
      <c r="M3" s="98" t="s">
        <v>801</v>
      </c>
      <c r="N3" s="117" t="s">
        <v>802</v>
      </c>
      <c r="O3" s="117" t="s">
        <v>803</v>
      </c>
      <c r="P3" s="117" t="s">
        <v>803</v>
      </c>
      <c r="Q3" s="117" t="s">
        <v>803</v>
      </c>
      <c r="R3" s="117" t="s">
        <v>803</v>
      </c>
      <c r="S3" s="117" t="s">
        <v>804</v>
      </c>
      <c r="T3" s="40" t="s">
        <v>805</v>
      </c>
      <c r="U3" s="40" t="s">
        <v>806</v>
      </c>
      <c r="V3" s="40" t="s">
        <v>807</v>
      </c>
      <c r="W3" s="40" t="s">
        <v>808</v>
      </c>
      <c r="X3" s="40" t="s">
        <v>809</v>
      </c>
      <c r="Y3" s="40" t="s">
        <v>810</v>
      </c>
      <c r="Z3" s="40" t="s">
        <v>811</v>
      </c>
      <c r="AA3" s="40" t="s">
        <v>812</v>
      </c>
      <c r="AB3" s="40" t="s">
        <v>813</v>
      </c>
      <c r="AC3" s="40" t="s">
        <v>814</v>
      </c>
      <c r="AD3" s="40" t="s">
        <v>815</v>
      </c>
      <c r="AE3" s="40" t="s">
        <v>816</v>
      </c>
      <c r="AF3" s="39" t="s">
        <v>434</v>
      </c>
      <c r="AG3" s="43" t="s">
        <v>442</v>
      </c>
    </row>
    <row r="4" customFormat="false" ht="9.7" hidden="false" customHeight="true" outlineLevel="0" collapsed="false">
      <c r="A4" s="45" t="str">
        <f aca="false">A3</f>
        <v>A</v>
      </c>
      <c r="B4" s="45" t="str">
        <f aca="false">B3</f>
        <v>Sort</v>
      </c>
      <c r="C4" s="45" t="str">
        <f aca="false">C3</f>
        <v>Link</v>
      </c>
      <c r="D4" s="45" t="str">
        <f aca="false">D3</f>
        <v>Parent Activity</v>
      </c>
      <c r="E4" s="46" t="str">
        <f aca="false">E3</f>
        <v>Activity</v>
      </c>
      <c r="F4" s="46" t="str">
        <f aca="false">F3</f>
        <v>Goal</v>
      </c>
      <c r="G4" s="46" t="str">
        <f aca="false">G3</f>
        <v>Planning Type</v>
      </c>
      <c r="H4" s="45" t="str">
        <f aca="false">H3</f>
        <v>Name</v>
      </c>
      <c r="I4" s="45" t="str">
        <f aca="false">I3</f>
        <v>Overview</v>
      </c>
      <c r="J4" s="118" t="str">
        <f aca="false">P3</f>
        <v>&lt;empty&gt;</v>
      </c>
      <c r="K4" s="46" t="str">
        <f aca="false">K3</f>
        <v>is Glob / Reg / Loc 
?</v>
      </c>
      <c r="L4" s="46" t="str">
        <f aca="false">L3</f>
        <v>Is Road map 
?</v>
      </c>
      <c r="M4" s="46" t="str">
        <f aca="false">M3</f>
        <v>Hard Deadline</v>
      </c>
      <c r="N4" s="46" t="str">
        <f aca="false">N3</f>
        <v>Sander</v>
      </c>
      <c r="O4" s="46" t="str">
        <f aca="false">O3</f>
        <v>&lt;empty&gt;</v>
      </c>
      <c r="P4" s="119" t="str">
        <f aca="false">P3</f>
        <v>&lt;empty&gt;</v>
      </c>
      <c r="Q4" s="46" t="str">
        <f aca="false">Q3</f>
        <v>&lt;empty&gt;</v>
      </c>
      <c r="R4" s="46" t="str">
        <f aca="false">I3</f>
        <v>Overview</v>
      </c>
      <c r="S4" s="46" t="str">
        <f aca="false">K3</f>
        <v>is Glob / Reg / Loc 
?</v>
      </c>
      <c r="T4" s="46" t="str">
        <f aca="false">L3</f>
        <v>Is Road map 
?</v>
      </c>
      <c r="U4" s="46"/>
      <c r="V4" s="46"/>
      <c r="W4" s="46"/>
      <c r="X4" s="46"/>
      <c r="Y4" s="46"/>
      <c r="Z4" s="118" t="str">
        <f aca="false">M3</f>
        <v>Hard Deadline</v>
      </c>
      <c r="AA4" s="118" t="str">
        <f aca="false">N3</f>
        <v>Sander</v>
      </c>
      <c r="AB4" s="118" t="str">
        <f aca="false">O3</f>
        <v>&lt;empty&gt;</v>
      </c>
      <c r="AC4" s="118"/>
      <c r="AD4" s="118"/>
      <c r="AE4" s="118"/>
      <c r="AF4" s="46" t="str">
        <f aca="false">Q3</f>
        <v>&lt;empty&gt;</v>
      </c>
      <c r="AG4" s="47" t="str">
        <f aca="false">AG3</f>
        <v>Z</v>
      </c>
    </row>
    <row r="5" customFormat="false" ht="12.8" hidden="false" customHeight="true" outlineLevel="0" collapsed="false">
      <c r="A5" s="63"/>
      <c r="B5" s="120" t="str">
        <f aca="false">IF(OR(G5="Routine", G5="Sub", G5="drill"), 0&amp;E5&amp;F5&amp;C5,IF(OR(G5="Project", G5="Stream", G5="Action"), 1&amp;E5&amp;F5&amp;C5,"ZZZ"))</f>
        <v>0EQDmgt1</v>
      </c>
      <c r="C5" s="63" t="n">
        <v>1</v>
      </c>
      <c r="D5" s="63"/>
      <c r="E5" s="79" t="s">
        <v>817</v>
      </c>
      <c r="F5" s="79" t="s">
        <v>447</v>
      </c>
      <c r="G5" s="79" t="s">
        <v>632</v>
      </c>
      <c r="H5" s="121" t="s">
        <v>818</v>
      </c>
      <c r="I5" s="121"/>
      <c r="J5" s="122"/>
      <c r="K5" s="79"/>
      <c r="L5" s="106"/>
      <c r="M5" s="54"/>
      <c r="N5" s="57" t="n">
        <v>20</v>
      </c>
      <c r="O5" s="57" t="s">
        <v>819</v>
      </c>
      <c r="P5" s="57" t="s">
        <v>819</v>
      </c>
      <c r="Q5" s="57" t="s">
        <v>819</v>
      </c>
      <c r="R5" s="57" t="s">
        <v>819</v>
      </c>
      <c r="S5" s="123" t="n">
        <f aca="false">SUM(N5:R5)</f>
        <v>20</v>
      </c>
      <c r="T5" s="124"/>
      <c r="U5" s="124"/>
      <c r="V5" s="124"/>
      <c r="W5" s="124"/>
      <c r="X5" s="124"/>
      <c r="Y5" s="124"/>
      <c r="Z5" s="124"/>
      <c r="AA5" s="124"/>
      <c r="AB5" s="124"/>
      <c r="AC5" s="124"/>
      <c r="AD5" s="124"/>
      <c r="AE5" s="124"/>
      <c r="AF5" s="63" t="s">
        <v>820</v>
      </c>
      <c r="AG5" s="56" t="s">
        <v>450</v>
      </c>
    </row>
    <row r="6" customFormat="false" ht="12.8" hidden="false" customHeight="false" outlineLevel="0" collapsed="false">
      <c r="A6" s="63"/>
      <c r="B6" s="120" t="str">
        <f aca="false">IF(OR(G6="Routine", G6="Sub", G6="drill"), 0&amp;E6&amp;F6&amp;C6,IF(OR(G6="Project", G6="Stream", G6="Action"), 1&amp;E6&amp;F6&amp;C6,"ZZZ"))</f>
        <v>0EQDmgt2</v>
      </c>
      <c r="C6" s="63" t="n">
        <v>2</v>
      </c>
      <c r="D6" s="63"/>
      <c r="E6" s="79" t="s">
        <v>817</v>
      </c>
      <c r="F6" s="79" t="s">
        <v>447</v>
      </c>
      <c r="G6" s="79" t="s">
        <v>632</v>
      </c>
      <c r="H6" s="121" t="s">
        <v>821</v>
      </c>
      <c r="I6" s="121"/>
      <c r="J6" s="122"/>
      <c r="K6" s="79"/>
      <c r="L6" s="106"/>
      <c r="M6" s="54"/>
      <c r="N6" s="57" t="n">
        <v>20</v>
      </c>
      <c r="O6" s="57" t="s">
        <v>819</v>
      </c>
      <c r="P6" s="57" t="s">
        <v>819</v>
      </c>
      <c r="Q6" s="57" t="s">
        <v>819</v>
      </c>
      <c r="R6" s="57" t="s">
        <v>819</v>
      </c>
      <c r="S6" s="123" t="n">
        <f aca="false">SUM(N6:R6)</f>
        <v>20</v>
      </c>
      <c r="T6" s="124"/>
      <c r="U6" s="124"/>
      <c r="V6" s="124"/>
      <c r="W6" s="124"/>
      <c r="X6" s="124"/>
      <c r="Y6" s="124"/>
      <c r="Z6" s="124"/>
      <c r="AA6" s="124"/>
      <c r="AB6" s="124"/>
      <c r="AC6" s="124"/>
      <c r="AD6" s="124"/>
      <c r="AE6" s="124"/>
      <c r="AF6" s="63" t="s">
        <v>820</v>
      </c>
      <c r="AG6" s="56" t="s">
        <v>450</v>
      </c>
    </row>
    <row r="7" customFormat="false" ht="12.8" hidden="false" customHeight="false" outlineLevel="0" collapsed="false">
      <c r="A7" s="63"/>
      <c r="B7" s="120" t="str">
        <f aca="false">IF(OR(G7="Routine", G7="Sub", G7="drill"), 0&amp;E7&amp;F7&amp;C7,IF(OR(G7="Project", G7="Stream", G7="Action"), 1&amp;E7&amp;F7&amp;C7,"ZZZ"))</f>
        <v>0EQDmgt3</v>
      </c>
      <c r="C7" s="63" t="n">
        <v>3</v>
      </c>
      <c r="D7" s="63"/>
      <c r="E7" s="79" t="s">
        <v>817</v>
      </c>
      <c r="F7" s="79" t="s">
        <v>447</v>
      </c>
      <c r="G7" s="79" t="s">
        <v>632</v>
      </c>
      <c r="H7" s="121" t="s">
        <v>822</v>
      </c>
      <c r="I7" s="121"/>
      <c r="J7" s="122"/>
      <c r="K7" s="79"/>
      <c r="L7" s="106"/>
      <c r="M7" s="54"/>
      <c r="N7" s="57" t="n">
        <v>20</v>
      </c>
      <c r="O7" s="57" t="s">
        <v>819</v>
      </c>
      <c r="P7" s="57" t="s">
        <v>819</v>
      </c>
      <c r="Q7" s="57" t="s">
        <v>819</v>
      </c>
      <c r="R7" s="57" t="s">
        <v>819</v>
      </c>
      <c r="S7" s="123" t="n">
        <f aca="false">SUM(N7:R7)</f>
        <v>20</v>
      </c>
      <c r="T7" s="124"/>
      <c r="U7" s="124"/>
      <c r="V7" s="124"/>
      <c r="W7" s="124"/>
      <c r="X7" s="124"/>
      <c r="Y7" s="124"/>
      <c r="Z7" s="124"/>
      <c r="AA7" s="124"/>
      <c r="AB7" s="124"/>
      <c r="AC7" s="124"/>
      <c r="AD7" s="124"/>
      <c r="AE7" s="124"/>
      <c r="AF7" s="63" t="s">
        <v>820</v>
      </c>
      <c r="AG7" s="56" t="s">
        <v>450</v>
      </c>
    </row>
    <row r="8" customFormat="false" ht="12.8" hidden="false" customHeight="false" outlineLevel="0" collapsed="false">
      <c r="A8" s="63"/>
      <c r="B8" s="120" t="str">
        <f aca="false">IF(OR(G8="Routine", G8="Sub", G8="drill"), 0&amp;E8&amp;F8&amp;C8,IF(OR(G8="Project", G8="Stream", G8="Action"), 1&amp;E8&amp;F8&amp;C8,"ZZZ"))</f>
        <v>0EQDmgt4</v>
      </c>
      <c r="C8" s="63" t="n">
        <v>4</v>
      </c>
      <c r="D8" s="63"/>
      <c r="E8" s="79" t="s">
        <v>817</v>
      </c>
      <c r="F8" s="79" t="s">
        <v>447</v>
      </c>
      <c r="G8" s="79" t="s">
        <v>632</v>
      </c>
      <c r="H8" s="121" t="s">
        <v>823</v>
      </c>
      <c r="I8" s="121"/>
      <c r="J8" s="122"/>
      <c r="K8" s="79"/>
      <c r="L8" s="106"/>
      <c r="M8" s="54"/>
      <c r="N8" s="57" t="n">
        <v>20</v>
      </c>
      <c r="O8" s="57" t="s">
        <v>819</v>
      </c>
      <c r="P8" s="57" t="s">
        <v>819</v>
      </c>
      <c r="Q8" s="57" t="s">
        <v>819</v>
      </c>
      <c r="R8" s="57" t="s">
        <v>819</v>
      </c>
      <c r="S8" s="123" t="n">
        <f aca="false">SUM(N8:R8)</f>
        <v>20</v>
      </c>
      <c r="T8" s="124"/>
      <c r="U8" s="124"/>
      <c r="V8" s="124"/>
      <c r="W8" s="124"/>
      <c r="X8" s="124"/>
      <c r="Y8" s="124"/>
      <c r="Z8" s="124"/>
      <c r="AA8" s="124"/>
      <c r="AB8" s="124"/>
      <c r="AC8" s="124"/>
      <c r="AD8" s="124"/>
      <c r="AE8" s="124"/>
      <c r="AF8" s="63" t="s">
        <v>820</v>
      </c>
      <c r="AG8" s="56" t="s">
        <v>450</v>
      </c>
    </row>
    <row r="9" customFormat="false" ht="12.8" hidden="false" customHeight="false" outlineLevel="0" collapsed="false">
      <c r="A9" s="63"/>
      <c r="B9" s="120" t="str">
        <f aca="false">IF(OR(G9="Routine", G9="Sub", G9="drill"), 0&amp;E9&amp;F9&amp;C9,IF(OR(G9="Project", G9="Stream", G9="Action"), 1&amp;E9&amp;F9&amp;C9,"ZZZ"))</f>
        <v>0EQDovh</v>
      </c>
      <c r="C9" s="63"/>
      <c r="D9" s="63"/>
      <c r="E9" s="79" t="s">
        <v>817</v>
      </c>
      <c r="F9" s="79" t="s">
        <v>824</v>
      </c>
      <c r="G9" s="79" t="s">
        <v>632</v>
      </c>
      <c r="H9" s="121" t="s">
        <v>825</v>
      </c>
      <c r="I9" s="121"/>
      <c r="J9" s="122"/>
      <c r="K9" s="79"/>
      <c r="L9" s="106"/>
      <c r="M9" s="54"/>
      <c r="N9" s="57"/>
      <c r="O9" s="57"/>
      <c r="P9" s="125"/>
      <c r="Q9" s="57"/>
      <c r="R9" s="57"/>
      <c r="S9" s="123" t="n">
        <f aca="false">SUM(N9:R9)</f>
        <v>0</v>
      </c>
      <c r="T9" s="124"/>
      <c r="U9" s="124"/>
      <c r="V9" s="124"/>
      <c r="W9" s="124"/>
      <c r="X9" s="124"/>
      <c r="Y9" s="124"/>
      <c r="Z9" s="124"/>
      <c r="AA9" s="124"/>
      <c r="AB9" s="124"/>
      <c r="AC9" s="124"/>
      <c r="AD9" s="124"/>
      <c r="AE9" s="124"/>
      <c r="AF9" s="63" t="s">
        <v>820</v>
      </c>
      <c r="AG9" s="56" t="s">
        <v>450</v>
      </c>
    </row>
    <row r="10" customFormat="false" ht="12.8" hidden="false" customHeight="false" outlineLevel="0" collapsed="false">
      <c r="A10" s="63"/>
      <c r="B10" s="120" t="str">
        <f aca="false">IF(OR(G10="Routine", G10="Sub", G10="drill"), 0&amp;E10&amp;F10&amp;C10,IF(OR(G10="Project", G10="Stream", G10="Action"), 1&amp;E10&amp;F10&amp;C10,"ZZZ"))</f>
        <v>0EQDovh</v>
      </c>
      <c r="C10" s="63"/>
      <c r="D10" s="63"/>
      <c r="E10" s="79" t="s">
        <v>817</v>
      </c>
      <c r="F10" s="79" t="s">
        <v>824</v>
      </c>
      <c r="G10" s="79" t="s">
        <v>632</v>
      </c>
      <c r="H10" s="121" t="s">
        <v>826</v>
      </c>
      <c r="I10" s="121"/>
      <c r="J10" s="122"/>
      <c r="K10" s="79"/>
      <c r="L10" s="106"/>
      <c r="M10" s="54"/>
      <c r="N10" s="57"/>
      <c r="O10" s="57"/>
      <c r="P10" s="125"/>
      <c r="Q10" s="57"/>
      <c r="R10" s="57"/>
      <c r="S10" s="123" t="n">
        <f aca="false">SUM(N10:R10)</f>
        <v>0</v>
      </c>
      <c r="T10" s="124"/>
      <c r="U10" s="124"/>
      <c r="V10" s="124"/>
      <c r="W10" s="124"/>
      <c r="X10" s="124"/>
      <c r="Y10" s="124"/>
      <c r="Z10" s="124"/>
      <c r="AA10" s="124"/>
      <c r="AB10" s="124"/>
      <c r="AC10" s="124"/>
      <c r="AD10" s="124"/>
      <c r="AE10" s="124"/>
      <c r="AF10" s="63" t="s">
        <v>820</v>
      </c>
      <c r="AG10" s="56" t="s">
        <v>450</v>
      </c>
    </row>
    <row r="11" customFormat="false" ht="12.8" hidden="false" customHeight="false" outlineLevel="0" collapsed="false">
      <c r="A11" s="63"/>
      <c r="B11" s="120" t="str">
        <f aca="false">IF(OR(G11="Routine", G11="Sub", G11="drill"), 0&amp;E11&amp;F11&amp;C11,IF(OR(G11="Project", G11="Stream", G11="Action"), 1&amp;E11&amp;F11&amp;C11,"ZZZ"))</f>
        <v>0EQDovh</v>
      </c>
      <c r="C11" s="63"/>
      <c r="D11" s="63"/>
      <c r="E11" s="79" t="s">
        <v>817</v>
      </c>
      <c r="F11" s="79" t="s">
        <v>824</v>
      </c>
      <c r="G11" s="79" t="s">
        <v>632</v>
      </c>
      <c r="H11" s="121" t="s">
        <v>827</v>
      </c>
      <c r="I11" s="121"/>
      <c r="J11" s="122"/>
      <c r="K11" s="79"/>
      <c r="L11" s="106"/>
      <c r="M11" s="54"/>
      <c r="N11" s="57"/>
      <c r="O11" s="57"/>
      <c r="P11" s="125"/>
      <c r="Q11" s="57"/>
      <c r="R11" s="57"/>
      <c r="S11" s="123" t="n">
        <f aca="false">SUM(N11:R11)</f>
        <v>0</v>
      </c>
      <c r="T11" s="124"/>
      <c r="U11" s="124"/>
      <c r="V11" s="124"/>
      <c r="W11" s="124"/>
      <c r="X11" s="124"/>
      <c r="Y11" s="124"/>
      <c r="Z11" s="124"/>
      <c r="AA11" s="124"/>
      <c r="AB11" s="124"/>
      <c r="AC11" s="124"/>
      <c r="AD11" s="124"/>
      <c r="AE11" s="124"/>
      <c r="AF11" s="63" t="s">
        <v>820</v>
      </c>
      <c r="AG11" s="56" t="s">
        <v>450</v>
      </c>
    </row>
    <row r="12" customFormat="false" ht="12.8" hidden="false" customHeight="false" outlineLevel="0" collapsed="false">
      <c r="A12" s="63"/>
      <c r="B12" s="120" t="str">
        <f aca="false">IF(OR(G12="Routine", G12="Sub", G12="drill"), 0&amp;E12&amp;F12&amp;C12,IF(OR(G12="Project", G12="Stream", G12="Action"), 1&amp;E12&amp;F12&amp;C12,"ZZZ"))</f>
        <v>0EQDovs</v>
      </c>
      <c r="C12" s="63"/>
      <c r="D12" s="63"/>
      <c r="E12" s="79" t="s">
        <v>817</v>
      </c>
      <c r="F12" s="79" t="s">
        <v>828</v>
      </c>
      <c r="G12" s="79" t="s">
        <v>632</v>
      </c>
      <c r="H12" s="121" t="s">
        <v>829</v>
      </c>
      <c r="I12" s="121"/>
      <c r="J12" s="122"/>
      <c r="K12" s="79"/>
      <c r="L12" s="106"/>
      <c r="M12" s="54"/>
      <c r="N12" s="57"/>
      <c r="O12" s="57"/>
      <c r="P12" s="125"/>
      <c r="Q12" s="57"/>
      <c r="R12" s="57"/>
      <c r="S12" s="123" t="n">
        <f aca="false">SUM(N12:R12)</f>
        <v>0</v>
      </c>
      <c r="T12" s="124"/>
      <c r="U12" s="124"/>
      <c r="V12" s="124"/>
      <c r="W12" s="124"/>
      <c r="X12" s="124"/>
      <c r="Y12" s="124"/>
      <c r="Z12" s="124"/>
      <c r="AA12" s="124"/>
      <c r="AB12" s="124"/>
      <c r="AC12" s="124"/>
      <c r="AD12" s="124"/>
      <c r="AE12" s="124"/>
      <c r="AF12" s="63" t="s">
        <v>820</v>
      </c>
      <c r="AG12" s="56" t="s">
        <v>450</v>
      </c>
    </row>
    <row r="13" customFormat="false" ht="12.8" hidden="false" customHeight="false" outlineLevel="0" collapsed="false">
      <c r="A13" s="63"/>
      <c r="B13" s="120" t="str">
        <f aca="false">IF(OR(G13="Routine", G13="Sub", G13="drill"), 0&amp;E13&amp;F13&amp;C13,IF(OR(G13="Project", G13="Stream", G13="Action"), 1&amp;E13&amp;F13&amp;C13,"ZZZ"))</f>
        <v>0EQDovs</v>
      </c>
      <c r="C13" s="63"/>
      <c r="D13" s="63"/>
      <c r="E13" s="79" t="s">
        <v>817</v>
      </c>
      <c r="F13" s="79" t="s">
        <v>828</v>
      </c>
      <c r="G13" s="79" t="s">
        <v>632</v>
      </c>
      <c r="H13" s="121" t="s">
        <v>830</v>
      </c>
      <c r="I13" s="121"/>
      <c r="J13" s="122"/>
      <c r="K13" s="79"/>
      <c r="L13" s="106"/>
      <c r="M13" s="54"/>
      <c r="N13" s="57"/>
      <c r="O13" s="57"/>
      <c r="P13" s="125"/>
      <c r="Q13" s="57"/>
      <c r="R13" s="57"/>
      <c r="S13" s="123" t="n">
        <f aca="false">SUM(N13:R13)</f>
        <v>0</v>
      </c>
      <c r="T13" s="124"/>
      <c r="U13" s="124"/>
      <c r="V13" s="124"/>
      <c r="W13" s="124"/>
      <c r="X13" s="124"/>
      <c r="Y13" s="124"/>
      <c r="Z13" s="124"/>
      <c r="AA13" s="124"/>
      <c r="AB13" s="124"/>
      <c r="AC13" s="124"/>
      <c r="AD13" s="124"/>
      <c r="AE13" s="124"/>
      <c r="AF13" s="63" t="s">
        <v>820</v>
      </c>
      <c r="AG13" s="56" t="s">
        <v>450</v>
      </c>
    </row>
    <row r="14" customFormat="false" ht="12.8" hidden="false" customHeight="false" outlineLevel="0" collapsed="false">
      <c r="A14" s="63"/>
      <c r="B14" s="120" t="str">
        <f aca="false">IF(OR(G14="Routine", G14="Sub", G14="drill"), 0&amp;E14&amp;F14&amp;C14,IF(OR(G14="Project", G14="Stream", G14="Action"), 1&amp;E14&amp;F14&amp;C14,"ZZZ"))</f>
        <v>0EQDovs</v>
      </c>
      <c r="C14" s="63"/>
      <c r="D14" s="63"/>
      <c r="E14" s="79" t="s">
        <v>817</v>
      </c>
      <c r="F14" s="79" t="s">
        <v>828</v>
      </c>
      <c r="G14" s="79" t="s">
        <v>632</v>
      </c>
      <c r="H14" s="121" t="s">
        <v>831</v>
      </c>
      <c r="I14" s="121"/>
      <c r="J14" s="122"/>
      <c r="K14" s="79"/>
      <c r="L14" s="106"/>
      <c r="M14" s="54"/>
      <c r="N14" s="57"/>
      <c r="O14" s="57"/>
      <c r="P14" s="125"/>
      <c r="Q14" s="57"/>
      <c r="R14" s="57"/>
      <c r="S14" s="123" t="n">
        <f aca="false">SUM(N14:R14)</f>
        <v>0</v>
      </c>
      <c r="T14" s="124"/>
      <c r="U14" s="124"/>
      <c r="V14" s="124"/>
      <c r="W14" s="124"/>
      <c r="X14" s="124"/>
      <c r="Y14" s="124"/>
      <c r="Z14" s="124"/>
      <c r="AA14" s="124"/>
      <c r="AB14" s="124"/>
      <c r="AC14" s="124"/>
      <c r="AD14" s="124"/>
      <c r="AE14" s="124"/>
      <c r="AF14" s="63" t="s">
        <v>820</v>
      </c>
      <c r="AG14" s="56" t="s">
        <v>450</v>
      </c>
    </row>
    <row r="15" customFormat="false" ht="12.8" hidden="false" customHeight="false" outlineLevel="0" collapsed="false">
      <c r="A15" s="63"/>
      <c r="B15" s="120" t="str">
        <f aca="false">IF(OR(G15="Routine", G15="Sub", G15="drill"), 0&amp;E15&amp;F15&amp;C15,IF(OR(G15="Project", G15="Stream", G15="Action"), 1&amp;E15&amp;F15&amp;C15,"ZZZ"))</f>
        <v>0EQDovsPerform Controls</v>
      </c>
      <c r="C15" s="121" t="s">
        <v>832</v>
      </c>
      <c r="D15" s="121"/>
      <c r="E15" s="79" t="s">
        <v>817</v>
      </c>
      <c r="F15" s="79" t="s">
        <v>828</v>
      </c>
      <c r="G15" s="79" t="s">
        <v>632</v>
      </c>
      <c r="H15" s="121" t="s">
        <v>832</v>
      </c>
      <c r="I15" s="121"/>
      <c r="J15" s="122"/>
      <c r="K15" s="79"/>
      <c r="L15" s="106"/>
      <c r="M15" s="54"/>
      <c r="N15" s="57"/>
      <c r="O15" s="57"/>
      <c r="P15" s="125"/>
      <c r="Q15" s="57"/>
      <c r="R15" s="57"/>
      <c r="S15" s="123" t="n">
        <f aca="false">SUM(N15:R15)</f>
        <v>0</v>
      </c>
      <c r="T15" s="124"/>
      <c r="U15" s="124"/>
      <c r="V15" s="124"/>
      <c r="W15" s="124"/>
      <c r="X15" s="124"/>
      <c r="Y15" s="124"/>
      <c r="Z15" s="124"/>
      <c r="AA15" s="124"/>
      <c r="AB15" s="124"/>
      <c r="AC15" s="124"/>
      <c r="AD15" s="124"/>
      <c r="AE15" s="124"/>
      <c r="AF15" s="63" t="s">
        <v>820</v>
      </c>
      <c r="AG15" s="56" t="s">
        <v>450</v>
      </c>
    </row>
    <row r="16" customFormat="false" ht="12.8" hidden="false" customHeight="false" outlineLevel="0" collapsed="false">
      <c r="A16" s="63"/>
      <c r="B16" s="120" t="str">
        <f aca="false">IF(OR(G16="Routine", G16="Sub", G16="drill"), 0&amp;E16&amp;F16&amp;C16,IF(OR(G16="Project", G16="Stream", G16="Action"), 1&amp;E16&amp;F16&amp;C16,"ZZZ"))</f>
        <v>0EQDovsPerform Controls1</v>
      </c>
      <c r="C16" s="121" t="s">
        <v>833</v>
      </c>
      <c r="D16" s="121"/>
      <c r="E16" s="79" t="s">
        <v>817</v>
      </c>
      <c r="F16" s="79" t="s">
        <v>828</v>
      </c>
      <c r="G16" s="79" t="s">
        <v>834</v>
      </c>
      <c r="H16" s="121" t="s">
        <v>835</v>
      </c>
      <c r="I16" s="121"/>
      <c r="J16" s="122"/>
      <c r="K16" s="79"/>
      <c r="L16" s="106"/>
      <c r="M16" s="54"/>
      <c r="N16" s="57"/>
      <c r="O16" s="57"/>
      <c r="P16" s="125"/>
      <c r="Q16" s="57"/>
      <c r="R16" s="57"/>
      <c r="S16" s="123" t="n">
        <f aca="false">SUM(N16:R16)</f>
        <v>0</v>
      </c>
      <c r="T16" s="126"/>
      <c r="U16" s="126"/>
      <c r="V16" s="126"/>
      <c r="W16" s="126"/>
      <c r="X16" s="126"/>
      <c r="Y16" s="126"/>
      <c r="Z16" s="126"/>
      <c r="AA16" s="126"/>
      <c r="AB16" s="126"/>
      <c r="AC16" s="126"/>
      <c r="AD16" s="126"/>
      <c r="AE16" s="126"/>
      <c r="AF16" s="63" t="s">
        <v>820</v>
      </c>
      <c r="AG16" s="56" t="s">
        <v>450</v>
      </c>
    </row>
    <row r="17" customFormat="false" ht="12.8" hidden="false" customHeight="false" outlineLevel="0" collapsed="false">
      <c r="A17" s="63"/>
      <c r="B17" s="120" t="str">
        <f aca="false">IF(OR(G17="Routine", G17="Sub", G17="drill"), 0&amp;E17&amp;F17&amp;C17,IF(OR(G17="Project", G17="Stream", G17="Action"), 1&amp;E17&amp;F17&amp;C17,"ZZZ"))</f>
        <v>0EQDovsPerform Controls1a</v>
      </c>
      <c r="C17" s="121" t="s">
        <v>836</v>
      </c>
      <c r="D17" s="121"/>
      <c r="E17" s="79" t="s">
        <v>817</v>
      </c>
      <c r="F17" s="79" t="s">
        <v>828</v>
      </c>
      <c r="G17" s="79" t="s">
        <v>837</v>
      </c>
      <c r="H17" s="121" t="s">
        <v>838</v>
      </c>
      <c r="I17" s="121"/>
      <c r="J17" s="122"/>
      <c r="K17" s="79"/>
      <c r="L17" s="106"/>
      <c r="M17" s="54"/>
      <c r="N17" s="57"/>
      <c r="O17" s="57"/>
      <c r="P17" s="125"/>
      <c r="Q17" s="57"/>
      <c r="R17" s="57"/>
      <c r="S17" s="123" t="n">
        <f aca="false">SUM(N17:R17)</f>
        <v>0</v>
      </c>
      <c r="T17" s="127"/>
      <c r="U17" s="127"/>
      <c r="V17" s="127"/>
      <c r="W17" s="127"/>
      <c r="X17" s="127"/>
      <c r="Y17" s="127"/>
      <c r="Z17" s="127"/>
      <c r="AA17" s="127"/>
      <c r="AB17" s="127"/>
      <c r="AC17" s="127"/>
      <c r="AD17" s="127"/>
      <c r="AE17" s="127"/>
      <c r="AF17" s="63" t="s">
        <v>820</v>
      </c>
      <c r="AG17" s="56" t="s">
        <v>450</v>
      </c>
    </row>
    <row r="18" customFormat="false" ht="12.8" hidden="false" customHeight="false" outlineLevel="0" collapsed="false">
      <c r="A18" s="63"/>
      <c r="B18" s="120" t="str">
        <f aca="false">IF(OR(G18="Routine", G18="Sub", G18="drill"), 0&amp;E18&amp;F18&amp;C18,IF(OR(G18="Project", G18="Stream", G18="Action"), 1&amp;E18&amp;F18&amp;C18,"ZZZ"))</f>
        <v>0EQDprd</v>
      </c>
      <c r="C18" s="63"/>
      <c r="D18" s="63"/>
      <c r="E18" s="79" t="s">
        <v>817</v>
      </c>
      <c r="F18" s="79" t="s">
        <v>647</v>
      </c>
      <c r="G18" s="79" t="s">
        <v>632</v>
      </c>
      <c r="H18" s="121" t="s">
        <v>839</v>
      </c>
      <c r="I18" s="121"/>
      <c r="J18" s="122"/>
      <c r="K18" s="79"/>
      <c r="L18" s="106"/>
      <c r="M18" s="54"/>
      <c r="N18" s="57"/>
      <c r="O18" s="57"/>
      <c r="P18" s="125"/>
      <c r="Q18" s="57"/>
      <c r="R18" s="57"/>
      <c r="S18" s="123" t="n">
        <f aca="false">SUM(N18:R18)</f>
        <v>0</v>
      </c>
      <c r="T18" s="124"/>
      <c r="U18" s="124"/>
      <c r="V18" s="124"/>
      <c r="W18" s="124"/>
      <c r="X18" s="124"/>
      <c r="Y18" s="124"/>
      <c r="Z18" s="124"/>
      <c r="AA18" s="124"/>
      <c r="AB18" s="124"/>
      <c r="AC18" s="124"/>
      <c r="AD18" s="124"/>
      <c r="AE18" s="124"/>
      <c r="AF18" s="63" t="s">
        <v>820</v>
      </c>
      <c r="AG18" s="56" t="s">
        <v>450</v>
      </c>
    </row>
    <row r="19" customFormat="false" ht="12.8" hidden="false" customHeight="false" outlineLevel="0" collapsed="false">
      <c r="A19" s="63"/>
      <c r="B19" s="120" t="str">
        <f aca="false">IF(OR(G19="Routine", G19="Sub", G19="drill"), 0&amp;E19&amp;F19&amp;C19,IF(OR(G19="Project", G19="Stream", G19="Action"), 1&amp;E19&amp;F19&amp;C19,"ZZZ"))</f>
        <v>0EQDprd</v>
      </c>
      <c r="C19" s="63"/>
      <c r="D19" s="63"/>
      <c r="E19" s="79" t="s">
        <v>817</v>
      </c>
      <c r="F19" s="79" t="s">
        <v>647</v>
      </c>
      <c r="G19" s="79" t="s">
        <v>632</v>
      </c>
      <c r="H19" s="121" t="s">
        <v>840</v>
      </c>
      <c r="I19" s="121"/>
      <c r="J19" s="122"/>
      <c r="K19" s="79"/>
      <c r="L19" s="106"/>
      <c r="M19" s="54"/>
      <c r="N19" s="57"/>
      <c r="O19" s="57"/>
      <c r="P19" s="125"/>
      <c r="Q19" s="57"/>
      <c r="R19" s="57"/>
      <c r="S19" s="123" t="n">
        <f aca="false">SUM(N19:R19)</f>
        <v>0</v>
      </c>
      <c r="T19" s="124"/>
      <c r="U19" s="124"/>
      <c r="V19" s="124"/>
      <c r="W19" s="124"/>
      <c r="X19" s="124"/>
      <c r="Y19" s="124"/>
      <c r="Z19" s="124"/>
      <c r="AA19" s="124"/>
      <c r="AB19" s="124"/>
      <c r="AC19" s="124"/>
      <c r="AD19" s="124"/>
      <c r="AE19" s="124"/>
      <c r="AF19" s="63" t="s">
        <v>820</v>
      </c>
      <c r="AG19" s="56" t="s">
        <v>450</v>
      </c>
    </row>
    <row r="20" customFormat="false" ht="12.8" hidden="false" customHeight="false" outlineLevel="0" collapsed="false">
      <c r="A20" s="63"/>
      <c r="B20" s="120" t="str">
        <f aca="false">IF(OR(G20="Routine", G20="Sub", G20="drill"), 0&amp;E20&amp;F20&amp;C20,IF(OR(G20="Project", G20="Stream", G20="Action"), 1&amp;E20&amp;F20&amp;C20,"ZZZ"))</f>
        <v>0EQDprd</v>
      </c>
      <c r="C20" s="63"/>
      <c r="D20" s="63"/>
      <c r="E20" s="79" t="s">
        <v>817</v>
      </c>
      <c r="F20" s="79" t="s">
        <v>647</v>
      </c>
      <c r="G20" s="79" t="s">
        <v>632</v>
      </c>
      <c r="H20" s="121" t="s">
        <v>841</v>
      </c>
      <c r="I20" s="121"/>
      <c r="J20" s="122"/>
      <c r="K20" s="79"/>
      <c r="L20" s="106"/>
      <c r="M20" s="54"/>
      <c r="N20" s="57"/>
      <c r="O20" s="57"/>
      <c r="P20" s="125"/>
      <c r="Q20" s="57"/>
      <c r="R20" s="57"/>
      <c r="S20" s="123" t="n">
        <f aca="false">SUM(N20:R20)</f>
        <v>0</v>
      </c>
      <c r="T20" s="124"/>
      <c r="U20" s="124"/>
      <c r="V20" s="124"/>
      <c r="W20" s="124"/>
      <c r="X20" s="124"/>
      <c r="Y20" s="124"/>
      <c r="Z20" s="124"/>
      <c r="AA20" s="124"/>
      <c r="AB20" s="124"/>
      <c r="AC20" s="124"/>
      <c r="AD20" s="124"/>
      <c r="AE20" s="124"/>
      <c r="AF20" s="63" t="s">
        <v>820</v>
      </c>
      <c r="AG20" s="56" t="s">
        <v>450</v>
      </c>
    </row>
    <row r="21" customFormat="false" ht="12.8" hidden="false" customHeight="false" outlineLevel="0" collapsed="false">
      <c r="A21" s="63"/>
      <c r="B21" s="120" t="str">
        <f aca="false">IF(OR(G21="Routine", G21="Sub", G21="drill"), 0&amp;E21&amp;F21&amp;C21,IF(OR(G21="Project", G21="Stream", G21="Action"), 1&amp;E21&amp;F21&amp;C21,"ZZZ"))</f>
        <v>0EQDprd</v>
      </c>
      <c r="C21" s="63"/>
      <c r="D21" s="63"/>
      <c r="E21" s="79" t="s">
        <v>817</v>
      </c>
      <c r="F21" s="79" t="s">
        <v>647</v>
      </c>
      <c r="G21" s="79" t="s">
        <v>632</v>
      </c>
      <c r="H21" s="121" t="s">
        <v>842</v>
      </c>
      <c r="I21" s="121"/>
      <c r="J21" s="122"/>
      <c r="K21" s="79"/>
      <c r="L21" s="106"/>
      <c r="M21" s="54"/>
      <c r="N21" s="57"/>
      <c r="O21" s="57"/>
      <c r="P21" s="125"/>
      <c r="Q21" s="57"/>
      <c r="R21" s="57"/>
      <c r="S21" s="123" t="n">
        <f aca="false">SUM(N21:R21)</f>
        <v>0</v>
      </c>
      <c r="T21" s="124"/>
      <c r="U21" s="124"/>
      <c r="V21" s="124"/>
      <c r="W21" s="124"/>
      <c r="X21" s="124"/>
      <c r="Y21" s="124"/>
      <c r="Z21" s="124"/>
      <c r="AA21" s="124"/>
      <c r="AB21" s="124"/>
      <c r="AC21" s="124"/>
      <c r="AD21" s="124"/>
      <c r="AE21" s="124"/>
      <c r="AF21" s="63" t="s">
        <v>820</v>
      </c>
      <c r="AG21" s="56" t="s">
        <v>450</v>
      </c>
    </row>
    <row r="22" customFormat="false" ht="12.8" hidden="false" customHeight="false" outlineLevel="0" collapsed="false">
      <c r="A22" s="63"/>
      <c r="B22" s="120" t="str">
        <f aca="false">IF(OR(G22="Routine", G22="Sub", G22="drill"), 0&amp;E22&amp;F22&amp;C22,IF(OR(G22="Project", G22="Stream", G22="Action"), 1&amp;E22&amp;F22&amp;C22,"ZZZ"))</f>
        <v>0EQDprd</v>
      </c>
      <c r="C22" s="63"/>
      <c r="D22" s="63"/>
      <c r="E22" s="79" t="s">
        <v>817</v>
      </c>
      <c r="F22" s="79" t="s">
        <v>647</v>
      </c>
      <c r="G22" s="79" t="s">
        <v>632</v>
      </c>
      <c r="H22" s="121" t="s">
        <v>843</v>
      </c>
      <c r="I22" s="121"/>
      <c r="J22" s="122"/>
      <c r="K22" s="79"/>
      <c r="L22" s="106"/>
      <c r="M22" s="54"/>
      <c r="N22" s="57"/>
      <c r="O22" s="57"/>
      <c r="P22" s="125"/>
      <c r="Q22" s="57"/>
      <c r="R22" s="57"/>
      <c r="S22" s="123" t="n">
        <f aca="false">SUM(N22:R22)</f>
        <v>0</v>
      </c>
      <c r="T22" s="124"/>
      <c r="U22" s="124"/>
      <c r="V22" s="124"/>
      <c r="W22" s="124"/>
      <c r="X22" s="124"/>
      <c r="Y22" s="124"/>
      <c r="Z22" s="124"/>
      <c r="AA22" s="124"/>
      <c r="AB22" s="124"/>
      <c r="AC22" s="124"/>
      <c r="AD22" s="124"/>
      <c r="AE22" s="124"/>
      <c r="AF22" s="63" t="s">
        <v>820</v>
      </c>
      <c r="AG22" s="56" t="s">
        <v>450</v>
      </c>
    </row>
    <row r="23" customFormat="false" ht="12.8" hidden="false" customHeight="false" outlineLevel="0" collapsed="false">
      <c r="A23" s="63"/>
      <c r="B23" s="120" t="str">
        <f aca="false">IF(OR(G23="Routine", G23="Sub", G23="drill"), 0&amp;E23&amp;F23&amp;C23,IF(OR(G23="Project", G23="Stream", G23="Action"), 1&amp;E23&amp;F23&amp;C23,"ZZZ"))</f>
        <v>1ALLgroIncrease scope of products</v>
      </c>
      <c r="C23" s="121" t="s">
        <v>844</v>
      </c>
      <c r="D23" s="121"/>
      <c r="E23" s="79" t="s">
        <v>845</v>
      </c>
      <c r="F23" s="79" t="s">
        <v>767</v>
      </c>
      <c r="G23" s="79" t="s">
        <v>764</v>
      </c>
      <c r="H23" s="121" t="s">
        <v>844</v>
      </c>
      <c r="I23" s="121"/>
      <c r="J23" s="122"/>
      <c r="K23" s="79"/>
      <c r="L23" s="106"/>
      <c r="M23" s="54"/>
      <c r="N23" s="57"/>
      <c r="O23" s="57"/>
      <c r="P23" s="125"/>
      <c r="Q23" s="57"/>
      <c r="R23" s="57"/>
      <c r="S23" s="123" t="n">
        <f aca="false">SUM(N23:R23)</f>
        <v>0</v>
      </c>
      <c r="T23" s="124"/>
      <c r="U23" s="124"/>
      <c r="V23" s="124"/>
      <c r="W23" s="124"/>
      <c r="X23" s="124"/>
      <c r="Y23" s="124"/>
      <c r="Z23" s="128"/>
      <c r="AA23" s="128"/>
      <c r="AB23" s="128"/>
      <c r="AC23" s="128"/>
      <c r="AD23" s="128"/>
      <c r="AE23" s="128"/>
      <c r="AF23" s="63" t="s">
        <v>820</v>
      </c>
      <c r="AG23" s="56" t="s">
        <v>450</v>
      </c>
    </row>
    <row r="24" customFormat="false" ht="12.8" hidden="false" customHeight="false" outlineLevel="0" collapsed="false">
      <c r="A24" s="63"/>
      <c r="B24" s="120" t="str">
        <f aca="false">IF(OR(G24="Routine", G24="Sub", G24="drill"), 0&amp;E24&amp;F24&amp;C24,IF(OR(G24="Project", G24="Stream", G24="Action"), 1&amp;E24&amp;F24&amp;C24,"ZZZ"))</f>
        <v>1ALLgroIncrease scope of products1</v>
      </c>
      <c r="C24" s="121" t="s">
        <v>846</v>
      </c>
      <c r="D24" s="121"/>
      <c r="E24" s="79" t="s">
        <v>845</v>
      </c>
      <c r="F24" s="79" t="s">
        <v>767</v>
      </c>
      <c r="G24" s="79" t="s">
        <v>769</v>
      </c>
      <c r="H24" s="121" t="s">
        <v>847</v>
      </c>
      <c r="I24" s="121"/>
      <c r="J24" s="122"/>
      <c r="K24" s="79"/>
      <c r="L24" s="106"/>
      <c r="M24" s="54"/>
      <c r="N24" s="57"/>
      <c r="O24" s="57"/>
      <c r="P24" s="125"/>
      <c r="Q24" s="57"/>
      <c r="R24" s="57"/>
      <c r="S24" s="123" t="n">
        <f aca="false">SUM(N24:R24)</f>
        <v>0</v>
      </c>
      <c r="T24" s="126"/>
      <c r="U24" s="126"/>
      <c r="V24" s="126"/>
      <c r="W24" s="126"/>
      <c r="X24" s="128"/>
      <c r="Y24" s="128"/>
      <c r="Z24" s="128"/>
      <c r="AA24" s="128"/>
      <c r="AB24" s="128"/>
      <c r="AC24" s="128"/>
      <c r="AD24" s="128"/>
      <c r="AE24" s="128"/>
      <c r="AF24" s="63" t="s">
        <v>820</v>
      </c>
      <c r="AG24" s="56" t="s">
        <v>450</v>
      </c>
    </row>
    <row r="25" customFormat="false" ht="12.8" hidden="false" customHeight="false" outlineLevel="0" collapsed="false">
      <c r="A25" s="63"/>
      <c r="B25" s="120" t="str">
        <f aca="false">IF(OR(G25="Routine", G25="Sub", G25="drill"), 0&amp;E25&amp;F25&amp;C25,IF(OR(G25="Project", G25="Stream", G25="Action"), 1&amp;E25&amp;F25&amp;C25,"ZZZ"))</f>
        <v>1ALLgroIncrease scope of products1a</v>
      </c>
      <c r="C25" s="121" t="s">
        <v>848</v>
      </c>
      <c r="D25" s="121"/>
      <c r="E25" s="79" t="s">
        <v>845</v>
      </c>
      <c r="F25" s="79" t="s">
        <v>767</v>
      </c>
      <c r="G25" s="79" t="s">
        <v>774</v>
      </c>
      <c r="H25" s="121" t="s">
        <v>849</v>
      </c>
      <c r="I25" s="121"/>
      <c r="J25" s="122"/>
      <c r="K25" s="79"/>
      <c r="L25" s="106"/>
      <c r="M25" s="54"/>
      <c r="N25" s="57"/>
      <c r="O25" s="57"/>
      <c r="P25" s="125"/>
      <c r="Q25" s="57"/>
      <c r="R25" s="57"/>
      <c r="S25" s="123" t="n">
        <f aca="false">SUM(N25:R25)</f>
        <v>0</v>
      </c>
      <c r="T25" s="128"/>
      <c r="U25" s="128"/>
      <c r="V25" s="127"/>
      <c r="W25" s="127"/>
      <c r="X25" s="128"/>
      <c r="Y25" s="128"/>
      <c r="Z25" s="128"/>
      <c r="AA25" s="128"/>
      <c r="AB25" s="128"/>
      <c r="AC25" s="128"/>
      <c r="AD25" s="128"/>
      <c r="AE25" s="128"/>
      <c r="AF25" s="63" t="s">
        <v>820</v>
      </c>
      <c r="AG25" s="56" t="s">
        <v>450</v>
      </c>
    </row>
    <row r="26" customFormat="false" ht="12.8" hidden="false" customHeight="false" outlineLevel="0" collapsed="false">
      <c r="A26" s="63"/>
      <c r="B26" s="120" t="str">
        <f aca="false">IF(OR(G26="Routine", G26="Sub", G26="drill"), 0&amp;E26&amp;F26&amp;C26,IF(OR(G26="Project", G26="Stream", G26="Action"), 1&amp;E26&amp;F26&amp;C26,"ZZZ"))</f>
        <v>ZZZ</v>
      </c>
      <c r="C26" s="63"/>
      <c r="D26" s="63"/>
      <c r="E26" s="79"/>
      <c r="F26" s="79"/>
      <c r="G26" s="79"/>
      <c r="H26" s="121"/>
      <c r="I26" s="121"/>
      <c r="J26" s="122"/>
      <c r="K26" s="79"/>
      <c r="L26" s="106"/>
      <c r="M26" s="54"/>
      <c r="N26" s="57"/>
      <c r="O26" s="57"/>
      <c r="P26" s="125"/>
      <c r="Q26" s="57"/>
      <c r="R26" s="57"/>
      <c r="S26" s="123" t="n">
        <f aca="false">SUM(N26:R26)</f>
        <v>0</v>
      </c>
      <c r="T26" s="128"/>
      <c r="U26" s="128"/>
      <c r="V26" s="128"/>
      <c r="W26" s="128"/>
      <c r="X26" s="128"/>
      <c r="Y26" s="128"/>
      <c r="Z26" s="128"/>
      <c r="AA26" s="128"/>
      <c r="AB26" s="128"/>
      <c r="AC26" s="128"/>
      <c r="AD26" s="128"/>
      <c r="AE26" s="128"/>
      <c r="AF26" s="63"/>
      <c r="AG26" s="56" t="s">
        <v>450</v>
      </c>
    </row>
    <row r="27" customFormat="false" ht="12.8" hidden="false" customHeight="false" outlineLevel="0" collapsed="false">
      <c r="A27" s="63"/>
      <c r="B27" s="120" t="str">
        <f aca="false">IF(OR(G27="Routine", G27="Sub", G27="drill"), 0&amp;E27&amp;F27&amp;C27,IF(OR(G27="Project", G27="Stream", G27="Action"), 1&amp;E27&amp;F27&amp;C27,"ZZZ"))</f>
        <v>ZZZ</v>
      </c>
      <c r="C27" s="63"/>
      <c r="D27" s="63"/>
      <c r="E27" s="79"/>
      <c r="F27" s="79"/>
      <c r="G27" s="79"/>
      <c r="H27" s="121"/>
      <c r="I27" s="121"/>
      <c r="J27" s="122"/>
      <c r="K27" s="79"/>
      <c r="L27" s="106"/>
      <c r="M27" s="54"/>
      <c r="N27" s="57"/>
      <c r="O27" s="57"/>
      <c r="P27" s="125"/>
      <c r="Q27" s="57"/>
      <c r="R27" s="57"/>
      <c r="S27" s="123" t="n">
        <f aca="false">SUM(N27:R27)</f>
        <v>0</v>
      </c>
      <c r="T27" s="128"/>
      <c r="U27" s="128"/>
      <c r="V27" s="128"/>
      <c r="W27" s="128"/>
      <c r="X27" s="128"/>
      <c r="Y27" s="128"/>
      <c r="Z27" s="128"/>
      <c r="AA27" s="128"/>
      <c r="AB27" s="128"/>
      <c r="AC27" s="128"/>
      <c r="AD27" s="128"/>
      <c r="AE27" s="128"/>
      <c r="AF27" s="63"/>
      <c r="AG27" s="56" t="s">
        <v>450</v>
      </c>
    </row>
    <row r="28" customFormat="false" ht="12.8" hidden="false" customHeight="false" outlineLevel="0" collapsed="false">
      <c r="A28" s="63"/>
      <c r="B28" s="120" t="str">
        <f aca="false">IF(OR(G28="Routine", G28="Sub", G28="drill"), 0&amp;E28&amp;F28&amp;C28,IF(OR(G28="Project", G28="Stream", G28="Action"), 1&amp;E28&amp;F28&amp;C28,"ZZZ"))</f>
        <v>ZZZ</v>
      </c>
      <c r="C28" s="63"/>
      <c r="D28" s="63"/>
      <c r="E28" s="79"/>
      <c r="F28" s="79"/>
      <c r="G28" s="79"/>
      <c r="H28" s="121"/>
      <c r="I28" s="121"/>
      <c r="J28" s="122"/>
      <c r="K28" s="79"/>
      <c r="L28" s="106"/>
      <c r="M28" s="54"/>
      <c r="N28" s="57"/>
      <c r="O28" s="57"/>
      <c r="P28" s="125"/>
      <c r="Q28" s="57"/>
      <c r="R28" s="57"/>
      <c r="S28" s="123" t="n">
        <f aca="false">SUM(N28:R28)</f>
        <v>0</v>
      </c>
      <c r="T28" s="128"/>
      <c r="U28" s="128"/>
      <c r="V28" s="128"/>
      <c r="W28" s="128"/>
      <c r="X28" s="128"/>
      <c r="Y28" s="128"/>
      <c r="Z28" s="128"/>
      <c r="AA28" s="128"/>
      <c r="AB28" s="128"/>
      <c r="AC28" s="128"/>
      <c r="AD28" s="128"/>
      <c r="AE28" s="128"/>
      <c r="AF28" s="63"/>
      <c r="AG28" s="56" t="s">
        <v>450</v>
      </c>
    </row>
    <row r="29" customFormat="false" ht="12.8" hidden="false" customHeight="false" outlineLevel="0" collapsed="false">
      <c r="A29" s="63"/>
      <c r="B29" s="120" t="str">
        <f aca="false">IF(OR(G29="Routine", G29="Sub", G29="drill"), 0&amp;E29&amp;F29&amp;C29,IF(OR(G29="Project", G29="Stream", G29="Action"), 1&amp;E29&amp;F29&amp;C29,"ZZZ"))</f>
        <v>ZZZ</v>
      </c>
      <c r="C29" s="63"/>
      <c r="D29" s="63"/>
      <c r="E29" s="79"/>
      <c r="F29" s="79"/>
      <c r="G29" s="79"/>
      <c r="H29" s="121"/>
      <c r="I29" s="121"/>
      <c r="J29" s="122"/>
      <c r="K29" s="79"/>
      <c r="L29" s="106"/>
      <c r="M29" s="54"/>
      <c r="N29" s="57"/>
      <c r="O29" s="57"/>
      <c r="P29" s="125"/>
      <c r="Q29" s="57"/>
      <c r="R29" s="57"/>
      <c r="S29" s="123" t="n">
        <f aca="false">SUM(N29:R29)</f>
        <v>0</v>
      </c>
      <c r="T29" s="128"/>
      <c r="U29" s="128"/>
      <c r="V29" s="128"/>
      <c r="W29" s="128"/>
      <c r="X29" s="128"/>
      <c r="Y29" s="128"/>
      <c r="Z29" s="128"/>
      <c r="AA29" s="128"/>
      <c r="AB29" s="128"/>
      <c r="AC29" s="128"/>
      <c r="AD29" s="128"/>
      <c r="AE29" s="128"/>
      <c r="AF29" s="63"/>
      <c r="AG29" s="56" t="s">
        <v>450</v>
      </c>
    </row>
    <row r="30" customFormat="false" ht="12.8" hidden="false" customHeight="false" outlineLevel="0" collapsed="false">
      <c r="A30" s="63"/>
      <c r="B30" s="120" t="str">
        <f aca="false">IF(OR(G30="Routine", G30="Sub", G30="drill"), 0&amp;E30&amp;F30&amp;C30,IF(OR(G30="Project", G30="Stream", G30="Action"), 1&amp;E30&amp;F30&amp;C30,"ZZZ"))</f>
        <v>ZZZ</v>
      </c>
      <c r="C30" s="63"/>
      <c r="D30" s="63"/>
      <c r="E30" s="79"/>
      <c r="F30" s="79"/>
      <c r="G30" s="79"/>
      <c r="H30" s="121"/>
      <c r="I30" s="121"/>
      <c r="J30" s="122"/>
      <c r="K30" s="79"/>
      <c r="L30" s="106"/>
      <c r="M30" s="54"/>
      <c r="N30" s="57"/>
      <c r="O30" s="57"/>
      <c r="P30" s="125"/>
      <c r="Q30" s="57"/>
      <c r="R30" s="57"/>
      <c r="S30" s="123" t="n">
        <f aca="false">SUM(N30:R30)</f>
        <v>0</v>
      </c>
      <c r="T30" s="128"/>
      <c r="U30" s="128"/>
      <c r="V30" s="128"/>
      <c r="W30" s="128"/>
      <c r="X30" s="128"/>
      <c r="Y30" s="128"/>
      <c r="Z30" s="128"/>
      <c r="AA30" s="128"/>
      <c r="AB30" s="128"/>
      <c r="AC30" s="128"/>
      <c r="AD30" s="128"/>
      <c r="AE30" s="128"/>
      <c r="AF30" s="63"/>
      <c r="AG30" s="56" t="s">
        <v>450</v>
      </c>
    </row>
    <row r="31" customFormat="false" ht="12.8" hidden="false" customHeight="false" outlineLevel="0" collapsed="false">
      <c r="A31" s="63"/>
      <c r="B31" s="120" t="str">
        <f aca="false">IF(OR(G31="Routine", G31="Sub", G31="drill"), 0&amp;E31&amp;F31&amp;C31,IF(OR(G31="Project", G31="Stream", G31="Action"), 1&amp;E31&amp;F31&amp;C31,"ZZZ"))</f>
        <v>ZZZ</v>
      </c>
      <c r="C31" s="63"/>
      <c r="D31" s="63"/>
      <c r="E31" s="79"/>
      <c r="F31" s="79"/>
      <c r="G31" s="79"/>
      <c r="H31" s="121"/>
      <c r="I31" s="121"/>
      <c r="J31" s="122"/>
      <c r="K31" s="79"/>
      <c r="L31" s="106"/>
      <c r="M31" s="54"/>
      <c r="N31" s="57"/>
      <c r="O31" s="57"/>
      <c r="P31" s="125"/>
      <c r="Q31" s="57"/>
      <c r="R31" s="57"/>
      <c r="S31" s="123" t="n">
        <f aca="false">SUM(N31:R31)</f>
        <v>0</v>
      </c>
      <c r="T31" s="128"/>
      <c r="U31" s="128"/>
      <c r="V31" s="128"/>
      <c r="W31" s="128"/>
      <c r="X31" s="128"/>
      <c r="Y31" s="128"/>
      <c r="Z31" s="128"/>
      <c r="AA31" s="128"/>
      <c r="AB31" s="128"/>
      <c r="AC31" s="128"/>
      <c r="AD31" s="128"/>
      <c r="AE31" s="128"/>
      <c r="AF31" s="63"/>
      <c r="AG31" s="56" t="s">
        <v>450</v>
      </c>
    </row>
    <row r="32" customFormat="false" ht="12.8" hidden="false" customHeight="false" outlineLevel="0" collapsed="false">
      <c r="A32" s="63"/>
      <c r="B32" s="120" t="str">
        <f aca="false">IF(OR(G32="Routine", G32="Sub", G32="drill"), 0&amp;E32&amp;F32&amp;C32,IF(OR(G32="Project", G32="Stream", G32="Action"), 1&amp;E32&amp;F32&amp;C32,"ZZZ"))</f>
        <v>ZZZ</v>
      </c>
      <c r="C32" s="63"/>
      <c r="D32" s="63"/>
      <c r="E32" s="79"/>
      <c r="F32" s="79"/>
      <c r="G32" s="79"/>
      <c r="H32" s="121"/>
      <c r="I32" s="121"/>
      <c r="J32" s="122"/>
      <c r="K32" s="79"/>
      <c r="L32" s="106"/>
      <c r="M32" s="54"/>
      <c r="N32" s="57"/>
      <c r="O32" s="57"/>
      <c r="P32" s="125"/>
      <c r="Q32" s="57"/>
      <c r="R32" s="57"/>
      <c r="S32" s="123" t="n">
        <f aca="false">SUM(N32:R32)</f>
        <v>0</v>
      </c>
      <c r="T32" s="128"/>
      <c r="U32" s="128"/>
      <c r="V32" s="128"/>
      <c r="W32" s="128"/>
      <c r="X32" s="128"/>
      <c r="Y32" s="128"/>
      <c r="Z32" s="128"/>
      <c r="AA32" s="128"/>
      <c r="AB32" s="128"/>
      <c r="AC32" s="128"/>
      <c r="AD32" s="128"/>
      <c r="AE32" s="128"/>
      <c r="AF32" s="63"/>
      <c r="AG32" s="56" t="s">
        <v>450</v>
      </c>
    </row>
    <row r="33" customFormat="false" ht="12.8" hidden="false" customHeight="false" outlineLevel="0" collapsed="false">
      <c r="A33" s="63"/>
      <c r="B33" s="120" t="str">
        <f aca="false">IF(OR(G33="Routine", G33="Sub", G33="drill"), 0&amp;E33&amp;F33&amp;C33,IF(OR(G33="Project", G33="Stream", G33="Action"), 1&amp;E33&amp;F33&amp;C33,"ZZZ"))</f>
        <v>ZZZ</v>
      </c>
      <c r="C33" s="63"/>
      <c r="D33" s="63"/>
      <c r="E33" s="79"/>
      <c r="F33" s="79"/>
      <c r="G33" s="79"/>
      <c r="H33" s="121"/>
      <c r="I33" s="121"/>
      <c r="J33" s="122"/>
      <c r="K33" s="79"/>
      <c r="L33" s="106"/>
      <c r="M33" s="54"/>
      <c r="N33" s="57"/>
      <c r="O33" s="57"/>
      <c r="P33" s="125"/>
      <c r="Q33" s="57"/>
      <c r="R33" s="57"/>
      <c r="S33" s="123" t="n">
        <f aca="false">SUM(N33:R33)</f>
        <v>0</v>
      </c>
      <c r="T33" s="128"/>
      <c r="U33" s="128"/>
      <c r="V33" s="128"/>
      <c r="W33" s="128"/>
      <c r="X33" s="128"/>
      <c r="Y33" s="128"/>
      <c r="Z33" s="128"/>
      <c r="AA33" s="128"/>
      <c r="AB33" s="128"/>
      <c r="AC33" s="128"/>
      <c r="AD33" s="128"/>
      <c r="AE33" s="128"/>
      <c r="AF33" s="63"/>
      <c r="AG33" s="56" t="s">
        <v>450</v>
      </c>
    </row>
    <row r="34" customFormat="false" ht="12.8" hidden="false" customHeight="false" outlineLevel="0" collapsed="false">
      <c r="A34" s="63"/>
      <c r="B34" s="120" t="str">
        <f aca="false">IF(OR(G34="Routine", G34="Sub", G34="drill"), 0&amp;E34&amp;F34&amp;C34,IF(OR(G34="Project", G34="Stream", G34="Action"), 1&amp;E34&amp;F34&amp;C34,"ZZZ"))</f>
        <v>ZZZ</v>
      </c>
      <c r="C34" s="63"/>
      <c r="D34" s="63"/>
      <c r="E34" s="79"/>
      <c r="F34" s="79"/>
      <c r="G34" s="79"/>
      <c r="H34" s="121"/>
      <c r="I34" s="121"/>
      <c r="J34" s="122"/>
      <c r="K34" s="79"/>
      <c r="L34" s="106"/>
      <c r="M34" s="54"/>
      <c r="N34" s="57"/>
      <c r="O34" s="57"/>
      <c r="P34" s="125"/>
      <c r="Q34" s="57"/>
      <c r="R34" s="57"/>
      <c r="S34" s="123" t="n">
        <f aca="false">SUM(N34:R34)</f>
        <v>0</v>
      </c>
      <c r="T34" s="128"/>
      <c r="U34" s="128"/>
      <c r="V34" s="128"/>
      <c r="W34" s="128"/>
      <c r="X34" s="128"/>
      <c r="Y34" s="128"/>
      <c r="Z34" s="128"/>
      <c r="AA34" s="128"/>
      <c r="AB34" s="128"/>
      <c r="AC34" s="128"/>
      <c r="AD34" s="128"/>
      <c r="AE34" s="128"/>
      <c r="AF34" s="63"/>
      <c r="AG34" s="56" t="s">
        <v>450</v>
      </c>
    </row>
    <row r="35" customFormat="false" ht="12.8" hidden="false" customHeight="false" outlineLevel="0" collapsed="false">
      <c r="A35" s="63"/>
      <c r="B35" s="120" t="str">
        <f aca="false">IF(OR(G35="Routine", G35="Sub", G35="drill"), 0&amp;E35&amp;F35&amp;C35,IF(OR(G35="Project", G35="Stream", G35="Action"), 1&amp;E35&amp;F35&amp;C35,"ZZZ"))</f>
        <v>ZZZ</v>
      </c>
      <c r="C35" s="63"/>
      <c r="D35" s="63"/>
      <c r="E35" s="79"/>
      <c r="F35" s="79"/>
      <c r="G35" s="79"/>
      <c r="H35" s="121"/>
      <c r="I35" s="121"/>
      <c r="J35" s="122"/>
      <c r="K35" s="79"/>
      <c r="L35" s="106"/>
      <c r="M35" s="54"/>
      <c r="N35" s="57"/>
      <c r="O35" s="57"/>
      <c r="P35" s="125"/>
      <c r="Q35" s="57"/>
      <c r="R35" s="57"/>
      <c r="S35" s="123" t="n">
        <f aca="false">SUM(N35:R35)</f>
        <v>0</v>
      </c>
      <c r="T35" s="128"/>
      <c r="U35" s="128"/>
      <c r="V35" s="128"/>
      <c r="W35" s="128"/>
      <c r="X35" s="128"/>
      <c r="Y35" s="128"/>
      <c r="Z35" s="128"/>
      <c r="AA35" s="128"/>
      <c r="AB35" s="128"/>
      <c r="AC35" s="128"/>
      <c r="AD35" s="128"/>
      <c r="AE35" s="128"/>
      <c r="AF35" s="63"/>
      <c r="AG35" s="56" t="s">
        <v>450</v>
      </c>
    </row>
    <row r="36" customFormat="false" ht="12.8" hidden="false" customHeight="false" outlineLevel="0" collapsed="false">
      <c r="A36" s="63"/>
      <c r="B36" s="120" t="str">
        <f aca="false">IF(OR(G36="Routine", G36="Sub", G36="drill"), 0&amp;E36&amp;F36&amp;C36,IF(OR(G36="Project", G36="Stream", G36="Action"), 1&amp;E36&amp;F36&amp;C36,"ZZZ"))</f>
        <v>ZZZ</v>
      </c>
      <c r="C36" s="63"/>
      <c r="D36" s="63"/>
      <c r="E36" s="79"/>
      <c r="F36" s="79"/>
      <c r="G36" s="79"/>
      <c r="H36" s="121"/>
      <c r="I36" s="121"/>
      <c r="J36" s="122"/>
      <c r="K36" s="79"/>
      <c r="L36" s="106"/>
      <c r="M36" s="54"/>
      <c r="N36" s="57"/>
      <c r="O36" s="57"/>
      <c r="P36" s="125"/>
      <c r="Q36" s="57"/>
      <c r="R36" s="57"/>
      <c r="S36" s="123" t="n">
        <f aca="false">SUM(N36:R36)</f>
        <v>0</v>
      </c>
      <c r="T36" s="128"/>
      <c r="U36" s="128"/>
      <c r="V36" s="128"/>
      <c r="W36" s="128"/>
      <c r="X36" s="128"/>
      <c r="Y36" s="128"/>
      <c r="Z36" s="128"/>
      <c r="AA36" s="128"/>
      <c r="AB36" s="128"/>
      <c r="AC36" s="128"/>
      <c r="AD36" s="128"/>
      <c r="AE36" s="128"/>
      <c r="AF36" s="63"/>
      <c r="AG36" s="56" t="s">
        <v>450</v>
      </c>
    </row>
  </sheetData>
  <autoFilter ref="A4:AG36"/>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S4" activePane="bottomRight" state="frozen"/>
      <selection pane="topLeft" activeCell="A1" activeCellId="0" sqref="A1"/>
      <selection pane="topRight" activeCell="S1" activeCellId="0" sqref="S1"/>
      <selection pane="bottomLeft" activeCell="A4" activeCellId="0" sqref="A4"/>
      <selection pane="bottomRight" activeCell="X1" activeCellId="0" sqref="X1"/>
    </sheetView>
  </sheetViews>
  <sheetFormatPr defaultColWidth="16.1484375" defaultRowHeight="12.8" zeroHeight="false" outlineLevelRow="1" outlineLevelCol="1"/>
  <cols>
    <col collapsed="false" customWidth="true" hidden="false" outlineLevel="0" max="1" min="1" style="2" width="1.8"/>
    <col collapsed="false" customWidth="true" hidden="false" outlineLevel="0" max="2" min="2" style="31" width="9.17"/>
    <col collapsed="false" customWidth="true" hidden="false" outlineLevel="0" max="3" min="3" style="31" width="11.11"/>
    <col collapsed="false" customWidth="true" hidden="false" outlineLevel="0" max="4" min="4" style="0" width="11.11"/>
    <col collapsed="false" customWidth="true" hidden="false" outlineLevel="0" max="6" min="5" style="0" width="23.48"/>
    <col collapsed="false" customWidth="true" hidden="false" outlineLevel="0" max="7" min="7" style="31" width="17.21"/>
    <col collapsed="false" customWidth="true" hidden="false" outlineLevel="0" max="8" min="8" style="31" width="16.53"/>
    <col collapsed="false" customWidth="true" hidden="false" outlineLevel="0" max="9" min="9" style="129" width="13.89"/>
    <col collapsed="false" customWidth="true" hidden="false" outlineLevel="0" max="10" min="10" style="31" width="13.89"/>
    <col collapsed="false" customWidth="true" hidden="false" outlineLevel="1" max="11" min="11" style="2" width="16.26"/>
    <col collapsed="false" customWidth="true" hidden="false" outlineLevel="1" max="13" min="12" style="2" width="13.36"/>
    <col collapsed="false" customWidth="true" hidden="false" outlineLevel="1" max="14" min="14" style="31" width="14.59"/>
    <col collapsed="false" customWidth="true" hidden="false" outlineLevel="0" max="15" min="15" style="31" width="16.53"/>
    <col collapsed="false" customWidth="true" hidden="false" outlineLevel="0" max="16" min="16" style="31" width="11.11"/>
    <col collapsed="false" customWidth="true" hidden="false" outlineLevel="0" max="17" min="17" style="31" width="10"/>
    <col collapsed="false" customWidth="true" hidden="false" outlineLevel="0" max="19" min="18" style="31" width="11.53"/>
    <col collapsed="false" customWidth="true" hidden="false" outlineLevel="0" max="20" min="20" style="31" width="16.67"/>
    <col collapsed="false" customWidth="true" hidden="false" outlineLevel="0" max="21" min="21" style="31" width="9.47"/>
    <col collapsed="false" customWidth="true" hidden="false" outlineLevel="0" max="22" min="22" style="2" width="32.09"/>
    <col collapsed="false" customWidth="true" hidden="false" outlineLevel="0" max="23" min="23" style="2" width="27.62"/>
    <col collapsed="false" customWidth="true" hidden="false" outlineLevel="0" max="24" min="24" style="2" width="22.23"/>
    <col collapsed="false" customWidth="true" hidden="false" outlineLevel="0" max="25" min="25" style="0" width="2.54"/>
  </cols>
  <sheetData>
    <row r="1" s="38" customFormat="true" ht="81.3" hidden="false" customHeight="true" outlineLevel="1" collapsed="false">
      <c r="A1" s="36" t="s">
        <v>782</v>
      </c>
      <c r="B1" s="34" t="s">
        <v>850</v>
      </c>
      <c r="C1" s="34" t="s">
        <v>851</v>
      </c>
      <c r="D1" s="34" t="s">
        <v>852</v>
      </c>
      <c r="E1" s="35" t="s">
        <v>853</v>
      </c>
      <c r="F1" s="35" t="s">
        <v>854</v>
      </c>
      <c r="G1" s="34" t="s">
        <v>855</v>
      </c>
      <c r="H1" s="86" t="s">
        <v>856</v>
      </c>
      <c r="I1" s="34" t="s">
        <v>857</v>
      </c>
      <c r="J1" s="86" t="s">
        <v>858</v>
      </c>
      <c r="K1" s="116" t="s">
        <v>859</v>
      </c>
      <c r="L1" s="116" t="s">
        <v>860</v>
      </c>
      <c r="M1" s="116" t="s">
        <v>861</v>
      </c>
      <c r="N1" s="116" t="s">
        <v>862</v>
      </c>
      <c r="O1" s="34" t="s">
        <v>863</v>
      </c>
      <c r="P1" s="34" t="s">
        <v>864</v>
      </c>
      <c r="Q1" s="34" t="s">
        <v>865</v>
      </c>
      <c r="R1" s="34" t="s">
        <v>866</v>
      </c>
      <c r="S1" s="34" t="s">
        <v>867</v>
      </c>
      <c r="T1" s="34" t="s">
        <v>868</v>
      </c>
      <c r="U1" s="34" t="s">
        <v>869</v>
      </c>
      <c r="V1" s="116" t="s">
        <v>790</v>
      </c>
      <c r="W1" s="36" t="s">
        <v>870</v>
      </c>
      <c r="X1" s="36" t="s">
        <v>625</v>
      </c>
      <c r="Y1" s="36" t="s">
        <v>393</v>
      </c>
      <c r="AMJ1" s="0"/>
    </row>
    <row r="2" s="38" customFormat="true" ht="12.8" hidden="false" customHeight="false" outlineLevel="1" collapsed="false">
      <c r="A2" s="36"/>
      <c r="B2" s="34"/>
      <c r="C2" s="34"/>
      <c r="D2" s="34"/>
      <c r="E2" s="35"/>
      <c r="F2" s="35"/>
      <c r="G2" s="34"/>
      <c r="H2" s="86"/>
      <c r="I2" s="34"/>
      <c r="J2" s="86"/>
      <c r="K2" s="116"/>
      <c r="L2" s="116"/>
      <c r="M2" s="116"/>
      <c r="N2" s="116"/>
      <c r="O2" s="34"/>
      <c r="P2" s="34"/>
      <c r="Q2" s="34"/>
      <c r="R2" s="34"/>
      <c r="S2" s="34"/>
      <c r="T2" s="34"/>
      <c r="U2" s="34"/>
      <c r="V2" s="116"/>
      <c r="W2" s="36"/>
      <c r="X2" s="36"/>
      <c r="Y2" s="36"/>
      <c r="AMJ2" s="0"/>
    </row>
    <row r="3" customFormat="false" ht="23.85" hidden="false" customHeight="false" outlineLevel="0" collapsed="false">
      <c r="A3" s="39" t="s">
        <v>394</v>
      </c>
      <c r="B3" s="41" t="s">
        <v>721</v>
      </c>
      <c r="C3" s="41" t="s">
        <v>871</v>
      </c>
      <c r="D3" s="43" t="s">
        <v>872</v>
      </c>
      <c r="E3" s="43" t="s">
        <v>424</v>
      </c>
      <c r="F3" s="43" t="s">
        <v>425</v>
      </c>
      <c r="G3" s="41" t="s">
        <v>873</v>
      </c>
      <c r="H3" s="41" t="s">
        <v>874</v>
      </c>
      <c r="I3" s="130" t="s">
        <v>875</v>
      </c>
      <c r="J3" s="98" t="s">
        <v>876</v>
      </c>
      <c r="K3" s="131" t="s">
        <v>877</v>
      </c>
      <c r="L3" s="131" t="s">
        <v>878</v>
      </c>
      <c r="M3" s="131" t="s">
        <v>879</v>
      </c>
      <c r="N3" s="98" t="s">
        <v>880</v>
      </c>
      <c r="O3" s="41" t="s">
        <v>881</v>
      </c>
      <c r="P3" s="41" t="s">
        <v>882</v>
      </c>
      <c r="Q3" s="41" t="s">
        <v>883</v>
      </c>
      <c r="R3" s="41" t="s">
        <v>884</v>
      </c>
      <c r="S3" s="41" t="s">
        <v>885</v>
      </c>
      <c r="T3" s="41" t="s">
        <v>886</v>
      </c>
      <c r="U3" s="41" t="s">
        <v>887</v>
      </c>
      <c r="V3" s="39" t="s">
        <v>433</v>
      </c>
      <c r="W3" s="39" t="s">
        <v>434</v>
      </c>
      <c r="X3" s="39" t="s">
        <v>435</v>
      </c>
      <c r="Y3" s="43" t="s">
        <v>442</v>
      </c>
    </row>
    <row r="4" customFormat="false" ht="9.7" hidden="false" customHeight="true" outlineLevel="0" collapsed="false">
      <c r="A4" s="45" t="str">
        <f aca="false">A3</f>
        <v>A</v>
      </c>
      <c r="B4" s="46" t="str">
        <f aca="false">B3</f>
        <v>Status</v>
      </c>
      <c r="C4" s="46" t="str">
        <f aca="false">C3</f>
        <v>Staff Type</v>
      </c>
      <c r="D4" s="47" t="str">
        <f aca="false">D3</f>
        <v>Alias</v>
      </c>
      <c r="E4" s="47" t="str">
        <f aca="false">E3</f>
        <v>Name</v>
      </c>
      <c r="F4" s="47" t="str">
        <f aca="false">F3</f>
        <v>Overview</v>
      </c>
      <c r="G4" s="46" t="str">
        <f aca="false">G3</f>
        <v>Parent</v>
      </c>
      <c r="H4" s="46" t="str">
        <f aca="false">H3</f>
        <v>Category</v>
      </c>
      <c r="I4" s="132" t="str">
        <f aca="false">I3</f>
        <v>Private Phone</v>
      </c>
      <c r="J4" s="46" t="str">
        <f aca="false">J3</f>
        <v>Group</v>
      </c>
      <c r="K4" s="45" t="str">
        <f aca="false">K3</f>
        <v>Skills</v>
      </c>
      <c r="L4" s="45" t="str">
        <f aca="false">L3</f>
        <v>Training</v>
      </c>
      <c r="M4" s="45" t="str">
        <f aca="false">M3</f>
        <v>Evaluation</v>
      </c>
      <c r="N4" s="119" t="str">
        <f aca="false">N3</f>
        <v>Remuneration</v>
      </c>
      <c r="O4" s="46" t="str">
        <f aca="false">O3</f>
        <v>Role</v>
      </c>
      <c r="P4" s="46" t="str">
        <f aca="false">H3</f>
        <v>Category</v>
      </c>
      <c r="Q4" s="46" t="str">
        <f aca="false">I3</f>
        <v>Private Phone</v>
      </c>
      <c r="R4" s="46" t="str">
        <f aca="false">J3</f>
        <v>Group</v>
      </c>
      <c r="S4" s="46" t="str">
        <f aca="false">K3</f>
        <v>Skills</v>
      </c>
      <c r="T4" s="46" t="str">
        <f aca="false">L3</f>
        <v>Training</v>
      </c>
      <c r="U4" s="46" t="str">
        <f aca="false">M3</f>
        <v>Evaluation</v>
      </c>
      <c r="V4" s="46" t="str">
        <f aca="false">N3</f>
        <v>Remuneration</v>
      </c>
      <c r="W4" s="46" t="str">
        <f aca="false">O3</f>
        <v>Role</v>
      </c>
      <c r="X4" s="46" t="str">
        <f aca="false">X3</f>
        <v>Tasks</v>
      </c>
      <c r="Y4" s="47" t="str">
        <f aca="false">Y3</f>
        <v>Z</v>
      </c>
    </row>
    <row r="5" customFormat="false" ht="12.8" hidden="false" customHeight="false" outlineLevel="0" collapsed="false">
      <c r="A5" s="63"/>
      <c r="B5" s="51" t="str">
        <f aca="true">IF(S5&lt;&gt;"",IF(TODAY()&gt;S5,"Inactive","Active"),"Active")</f>
        <v>Active</v>
      </c>
      <c r="C5" s="79" t="s">
        <v>888</v>
      </c>
      <c r="D5" s="56" t="s">
        <v>761</v>
      </c>
      <c r="E5" s="56" t="s">
        <v>889</v>
      </c>
      <c r="F5" s="56" t="s">
        <v>889</v>
      </c>
      <c r="G5" s="79" t="s">
        <v>890</v>
      </c>
      <c r="H5" s="79" t="s">
        <v>891</v>
      </c>
      <c r="I5" s="133" t="s">
        <v>892</v>
      </c>
      <c r="J5" s="106" t="s">
        <v>893</v>
      </c>
      <c r="K5" s="82"/>
      <c r="L5" s="82"/>
      <c r="M5" s="82"/>
      <c r="N5" s="106"/>
      <c r="O5" s="79" t="s">
        <v>894</v>
      </c>
      <c r="P5" s="79"/>
      <c r="Q5" s="134"/>
      <c r="R5" s="128"/>
      <c r="S5" s="128"/>
      <c r="T5" s="128"/>
      <c r="U5" s="128"/>
      <c r="V5" s="122"/>
      <c r="W5" s="63"/>
      <c r="X5" s="63"/>
      <c r="Y5" s="56" t="s">
        <v>450</v>
      </c>
    </row>
    <row r="6" customFormat="false" ht="12.8" hidden="false" customHeight="false" outlineLevel="0" collapsed="false">
      <c r="A6" s="63"/>
      <c r="B6" s="51" t="str">
        <f aca="true">IF(S6&lt;&gt;"",IF(TODAY()&gt;S6,"Inactive","Active"),"Active")</f>
        <v>Active</v>
      </c>
      <c r="C6" s="79" t="s">
        <v>888</v>
      </c>
      <c r="D6" s="56"/>
      <c r="E6" s="56"/>
      <c r="F6" s="56"/>
      <c r="G6" s="79"/>
      <c r="H6" s="79"/>
      <c r="I6" s="133"/>
      <c r="J6" s="106"/>
      <c r="K6" s="82"/>
      <c r="L6" s="82"/>
      <c r="M6" s="82"/>
      <c r="N6" s="106"/>
      <c r="O6" s="79"/>
      <c r="P6" s="79"/>
      <c r="Q6" s="134"/>
      <c r="R6" s="128"/>
      <c r="S6" s="128"/>
      <c r="T6" s="128"/>
      <c r="U6" s="128"/>
      <c r="V6" s="122"/>
      <c r="W6" s="63"/>
      <c r="X6" s="63"/>
      <c r="Y6" s="56" t="s">
        <v>450</v>
      </c>
    </row>
    <row r="7" customFormat="false" ht="12.8" hidden="false" customHeight="false" outlineLevel="0" collapsed="false">
      <c r="A7" s="63"/>
      <c r="B7" s="51" t="str">
        <f aca="true">IF(S7&lt;&gt;"",IF(TODAY()&gt;S7,"Inactive","Active"),"Active")</f>
        <v>Active</v>
      </c>
      <c r="C7" s="79"/>
      <c r="D7" s="56"/>
      <c r="E7" s="56"/>
      <c r="F7" s="56"/>
      <c r="G7" s="79"/>
      <c r="H7" s="79"/>
      <c r="I7" s="133"/>
      <c r="J7" s="106"/>
      <c r="K7" s="82"/>
      <c r="L7" s="82"/>
      <c r="M7" s="82"/>
      <c r="N7" s="106"/>
      <c r="O7" s="79"/>
      <c r="P7" s="79"/>
      <c r="Q7" s="134"/>
      <c r="R7" s="128"/>
      <c r="S7" s="128"/>
      <c r="T7" s="128"/>
      <c r="U7" s="128"/>
      <c r="V7" s="122"/>
      <c r="W7" s="63"/>
      <c r="X7" s="63"/>
      <c r="Y7" s="56" t="s">
        <v>450</v>
      </c>
    </row>
    <row r="8" customFormat="false" ht="12.8" hidden="false" customHeight="false" outlineLevel="0" collapsed="false">
      <c r="A8" s="63"/>
      <c r="B8" s="51" t="str">
        <f aca="true">IF(S8&lt;&gt;"",IF(TODAY()&gt;S8,"Inactive","Active"),"Active")</f>
        <v>Active</v>
      </c>
      <c r="C8" s="79"/>
      <c r="D8" s="56"/>
      <c r="E8" s="56"/>
      <c r="F8" s="56"/>
      <c r="G8" s="79"/>
      <c r="H8" s="79"/>
      <c r="I8" s="133"/>
      <c r="J8" s="106"/>
      <c r="K8" s="82"/>
      <c r="L8" s="82"/>
      <c r="M8" s="82"/>
      <c r="N8" s="106"/>
      <c r="O8" s="79"/>
      <c r="P8" s="79"/>
      <c r="Q8" s="134"/>
      <c r="R8" s="128"/>
      <c r="S8" s="128"/>
      <c r="T8" s="128"/>
      <c r="U8" s="128"/>
      <c r="V8" s="122"/>
      <c r="W8" s="63"/>
      <c r="X8" s="63"/>
      <c r="Y8" s="56" t="s">
        <v>450</v>
      </c>
    </row>
    <row r="9" customFormat="false" ht="12.8" hidden="false" customHeight="false" outlineLevel="0" collapsed="false">
      <c r="A9" s="63"/>
      <c r="B9" s="51" t="str">
        <f aca="true">IF(S9&lt;&gt;"",IF(TODAY()&gt;S9,"Inactive","Active"),"Active")</f>
        <v>Active</v>
      </c>
      <c r="C9" s="79"/>
      <c r="D9" s="56"/>
      <c r="E9" s="56"/>
      <c r="F9" s="56"/>
      <c r="G9" s="79"/>
      <c r="H9" s="79"/>
      <c r="I9" s="133"/>
      <c r="J9" s="106"/>
      <c r="K9" s="82"/>
      <c r="L9" s="82"/>
      <c r="M9" s="82"/>
      <c r="N9" s="106"/>
      <c r="O9" s="79"/>
      <c r="P9" s="79"/>
      <c r="Q9" s="134"/>
      <c r="R9" s="128"/>
      <c r="S9" s="128"/>
      <c r="T9" s="128"/>
      <c r="U9" s="128"/>
      <c r="V9" s="122"/>
      <c r="W9" s="63"/>
      <c r="X9" s="63"/>
      <c r="Y9" s="56" t="s">
        <v>450</v>
      </c>
    </row>
    <row r="10" customFormat="false" ht="12.8" hidden="false" customHeight="false" outlineLevel="0" collapsed="false">
      <c r="A10" s="63"/>
      <c r="B10" s="51" t="str">
        <f aca="true">IF(S10&lt;&gt;"",IF(TODAY()&gt;S10,"Inactive","Active"),"Active")</f>
        <v>Active</v>
      </c>
      <c r="C10" s="79"/>
      <c r="D10" s="56"/>
      <c r="E10" s="56"/>
      <c r="F10" s="56"/>
      <c r="G10" s="79"/>
      <c r="H10" s="79"/>
      <c r="I10" s="133"/>
      <c r="J10" s="106"/>
      <c r="K10" s="82"/>
      <c r="L10" s="82"/>
      <c r="M10" s="82"/>
      <c r="N10" s="106"/>
      <c r="O10" s="79"/>
      <c r="P10" s="79"/>
      <c r="Q10" s="134"/>
      <c r="R10" s="128"/>
      <c r="S10" s="128"/>
      <c r="T10" s="128"/>
      <c r="U10" s="128"/>
      <c r="V10" s="122"/>
      <c r="W10" s="63"/>
      <c r="X10" s="63"/>
      <c r="Y10" s="56" t="s">
        <v>450</v>
      </c>
    </row>
    <row r="11" customFormat="false" ht="12.8" hidden="false" customHeight="false" outlineLevel="0" collapsed="false">
      <c r="A11" s="63"/>
      <c r="B11" s="51" t="str">
        <f aca="true">IF(S11&lt;&gt;"",IF(TODAY()&gt;S11,"Inactive","Active"),"Active")</f>
        <v>Active</v>
      </c>
      <c r="C11" s="79"/>
      <c r="D11" s="56"/>
      <c r="E11" s="56"/>
      <c r="F11" s="56"/>
      <c r="G11" s="79"/>
      <c r="H11" s="79"/>
      <c r="I11" s="133"/>
      <c r="J11" s="106"/>
      <c r="K11" s="82"/>
      <c r="L11" s="82"/>
      <c r="M11" s="82"/>
      <c r="N11" s="106"/>
      <c r="O11" s="79"/>
      <c r="P11" s="79"/>
      <c r="Q11" s="134"/>
      <c r="R11" s="128"/>
      <c r="S11" s="128"/>
      <c r="T11" s="128"/>
      <c r="U11" s="128"/>
      <c r="V11" s="122"/>
      <c r="W11" s="63"/>
      <c r="X11" s="63"/>
      <c r="Y11" s="56" t="s">
        <v>450</v>
      </c>
    </row>
    <row r="12" customFormat="false" ht="12.8" hidden="false" customHeight="false" outlineLevel="0" collapsed="false">
      <c r="A12" s="63"/>
      <c r="B12" s="51" t="str">
        <f aca="true">IF(S12&lt;&gt;"",IF(TODAY()&gt;S12,"Inactive","Active"),"Active")</f>
        <v>Active</v>
      </c>
      <c r="C12" s="79"/>
      <c r="D12" s="56"/>
      <c r="E12" s="56"/>
      <c r="F12" s="56"/>
      <c r="G12" s="79"/>
      <c r="H12" s="79"/>
      <c r="I12" s="133"/>
      <c r="J12" s="106"/>
      <c r="K12" s="82"/>
      <c r="L12" s="82"/>
      <c r="M12" s="82"/>
      <c r="N12" s="106"/>
      <c r="O12" s="79"/>
      <c r="P12" s="79"/>
      <c r="Q12" s="134"/>
      <c r="R12" s="128"/>
      <c r="S12" s="128"/>
      <c r="T12" s="128"/>
      <c r="U12" s="128"/>
      <c r="V12" s="122"/>
      <c r="W12" s="63"/>
      <c r="X12" s="63"/>
      <c r="Y12" s="56" t="s">
        <v>450</v>
      </c>
    </row>
    <row r="13" customFormat="false" ht="12.8" hidden="false" customHeight="false" outlineLevel="0" collapsed="false">
      <c r="A13" s="63"/>
      <c r="B13" s="51" t="str">
        <f aca="true">IF(S13&lt;&gt;"",IF(TODAY()&gt;S13,"Inactive","Active"),"Active")</f>
        <v>Active</v>
      </c>
      <c r="C13" s="79"/>
      <c r="D13" s="56"/>
      <c r="E13" s="56"/>
      <c r="F13" s="56"/>
      <c r="G13" s="79"/>
      <c r="H13" s="79"/>
      <c r="I13" s="133"/>
      <c r="J13" s="106"/>
      <c r="K13" s="82"/>
      <c r="L13" s="82"/>
      <c r="M13" s="82"/>
      <c r="N13" s="106"/>
      <c r="O13" s="79"/>
      <c r="P13" s="79"/>
      <c r="Q13" s="134"/>
      <c r="R13" s="128"/>
      <c r="S13" s="128"/>
      <c r="T13" s="128"/>
      <c r="U13" s="128"/>
      <c r="V13" s="122"/>
      <c r="W13" s="63"/>
      <c r="X13" s="63"/>
      <c r="Y13" s="56" t="s">
        <v>450</v>
      </c>
    </row>
    <row r="14" customFormat="false" ht="12.8" hidden="false" customHeight="false" outlineLevel="0" collapsed="false">
      <c r="A14" s="63"/>
      <c r="B14" s="51" t="str">
        <f aca="true">IF(S14&lt;&gt;"",IF(TODAY()&gt;S14,"Inactive","Active"),"Active")</f>
        <v>Active</v>
      </c>
      <c r="C14" s="79"/>
      <c r="D14" s="56"/>
      <c r="E14" s="56"/>
      <c r="F14" s="56"/>
      <c r="G14" s="79"/>
      <c r="H14" s="79"/>
      <c r="I14" s="133"/>
      <c r="J14" s="106"/>
      <c r="K14" s="82"/>
      <c r="L14" s="82"/>
      <c r="M14" s="82"/>
      <c r="N14" s="106"/>
      <c r="O14" s="79"/>
      <c r="P14" s="79"/>
      <c r="Q14" s="134"/>
      <c r="R14" s="128"/>
      <c r="S14" s="128"/>
      <c r="T14" s="128"/>
      <c r="U14" s="128"/>
      <c r="V14" s="122"/>
      <c r="W14" s="63"/>
      <c r="X14" s="63"/>
      <c r="Y14" s="56" t="s">
        <v>450</v>
      </c>
    </row>
    <row r="15" customFormat="false" ht="12.8" hidden="false" customHeight="false" outlineLevel="0" collapsed="false">
      <c r="A15" s="63"/>
      <c r="B15" s="51" t="str">
        <f aca="true">IF(S15&lt;&gt;"",IF(TODAY()&gt;S15,"Inactive","Active"),"Active")</f>
        <v>Active</v>
      </c>
      <c r="C15" s="79"/>
      <c r="D15" s="56"/>
      <c r="E15" s="56"/>
      <c r="F15" s="56"/>
      <c r="G15" s="79"/>
      <c r="H15" s="79"/>
      <c r="I15" s="133"/>
      <c r="J15" s="106"/>
      <c r="K15" s="82"/>
      <c r="L15" s="82"/>
      <c r="M15" s="82"/>
      <c r="N15" s="106"/>
      <c r="O15" s="79"/>
      <c r="P15" s="79"/>
      <c r="Q15" s="134"/>
      <c r="R15" s="128"/>
      <c r="S15" s="128"/>
      <c r="T15" s="128"/>
      <c r="U15" s="128"/>
      <c r="V15" s="122"/>
      <c r="W15" s="63"/>
      <c r="X15" s="63"/>
      <c r="Y15" s="56" t="s">
        <v>450</v>
      </c>
    </row>
    <row r="16" customFormat="false" ht="12.8" hidden="false" customHeight="false" outlineLevel="0" collapsed="false">
      <c r="A16" s="63"/>
      <c r="B16" s="51" t="str">
        <f aca="true">IF(S16&lt;&gt;"",IF(TODAY()&gt;S16,"Inactive","Active"),"Active")</f>
        <v>Active</v>
      </c>
      <c r="C16" s="79"/>
      <c r="D16" s="56"/>
      <c r="E16" s="56"/>
      <c r="F16" s="56"/>
      <c r="G16" s="79"/>
      <c r="H16" s="79"/>
      <c r="I16" s="133"/>
      <c r="J16" s="106"/>
      <c r="K16" s="82"/>
      <c r="L16" s="82"/>
      <c r="M16" s="82"/>
      <c r="N16" s="106"/>
      <c r="O16" s="79"/>
      <c r="P16" s="79"/>
      <c r="Q16" s="134"/>
      <c r="R16" s="128"/>
      <c r="S16" s="128"/>
      <c r="T16" s="128"/>
      <c r="U16" s="128"/>
      <c r="V16" s="122"/>
      <c r="W16" s="63"/>
      <c r="X16" s="63"/>
      <c r="Y16" s="56" t="s">
        <v>450</v>
      </c>
    </row>
    <row r="17" customFormat="false" ht="12.8" hidden="false" customHeight="false" outlineLevel="0" collapsed="false">
      <c r="A17" s="63"/>
      <c r="B17" s="51" t="str">
        <f aca="true">IF(S17&lt;&gt;"",IF(TODAY()&gt;S17,"Inactive","Active"),"Active")</f>
        <v>Active</v>
      </c>
      <c r="C17" s="79"/>
      <c r="D17" s="56"/>
      <c r="E17" s="56"/>
      <c r="F17" s="56"/>
      <c r="G17" s="79"/>
      <c r="H17" s="79"/>
      <c r="I17" s="133"/>
      <c r="J17" s="106"/>
      <c r="K17" s="82"/>
      <c r="L17" s="82"/>
      <c r="M17" s="82"/>
      <c r="N17" s="106"/>
      <c r="O17" s="79"/>
      <c r="P17" s="79"/>
      <c r="Q17" s="134"/>
      <c r="R17" s="128"/>
      <c r="S17" s="128"/>
      <c r="T17" s="128"/>
      <c r="U17" s="128"/>
      <c r="V17" s="122"/>
      <c r="W17" s="63"/>
      <c r="X17" s="63"/>
      <c r="Y17" s="56" t="s">
        <v>450</v>
      </c>
    </row>
    <row r="18" customFormat="false" ht="12.8" hidden="false" customHeight="false" outlineLevel="0" collapsed="false">
      <c r="A18" s="63"/>
      <c r="B18" s="51" t="str">
        <f aca="true">IF(S18&lt;&gt;"",IF(TODAY()&gt;S18,"Inactive","Active"),"Active")</f>
        <v>Active</v>
      </c>
      <c r="C18" s="79"/>
      <c r="D18" s="56"/>
      <c r="E18" s="56"/>
      <c r="F18" s="56"/>
      <c r="G18" s="79"/>
      <c r="H18" s="79"/>
      <c r="I18" s="133"/>
      <c r="J18" s="106"/>
      <c r="K18" s="82"/>
      <c r="L18" s="82"/>
      <c r="M18" s="82"/>
      <c r="N18" s="106"/>
      <c r="O18" s="79"/>
      <c r="P18" s="79"/>
      <c r="Q18" s="134"/>
      <c r="R18" s="128"/>
      <c r="S18" s="128"/>
      <c r="T18" s="128"/>
      <c r="U18" s="128"/>
      <c r="V18" s="122"/>
      <c r="W18" s="63"/>
      <c r="X18" s="63"/>
      <c r="Y18" s="56" t="s">
        <v>450</v>
      </c>
    </row>
    <row r="19" customFormat="false" ht="12.8" hidden="false" customHeight="false" outlineLevel="0" collapsed="false">
      <c r="A19" s="63"/>
      <c r="B19" s="51" t="str">
        <f aca="true">IF(S19&lt;&gt;"",IF(TODAY()&gt;S19,"Inactive","Active"),"Active")</f>
        <v>Active</v>
      </c>
      <c r="C19" s="79"/>
      <c r="D19" s="56"/>
      <c r="E19" s="56"/>
      <c r="F19" s="56"/>
      <c r="G19" s="79"/>
      <c r="H19" s="79"/>
      <c r="I19" s="133"/>
      <c r="J19" s="106"/>
      <c r="K19" s="82"/>
      <c r="L19" s="82"/>
      <c r="M19" s="82"/>
      <c r="N19" s="106"/>
      <c r="O19" s="79"/>
      <c r="P19" s="79"/>
      <c r="Q19" s="134"/>
      <c r="R19" s="128"/>
      <c r="S19" s="128"/>
      <c r="T19" s="128"/>
      <c r="U19" s="128"/>
      <c r="V19" s="122"/>
      <c r="W19" s="63"/>
      <c r="X19" s="63"/>
      <c r="Y19" s="56" t="s">
        <v>450</v>
      </c>
    </row>
    <row r="20" customFormat="false" ht="12.8" hidden="false" customHeight="false" outlineLevel="0" collapsed="false">
      <c r="A20" s="63"/>
      <c r="B20" s="51" t="str">
        <f aca="true">IF(S20&lt;&gt;"",IF(TODAY()&gt;S20,"Inactive","Active"),"Active")</f>
        <v>Active</v>
      </c>
      <c r="C20" s="79"/>
      <c r="D20" s="56"/>
      <c r="E20" s="56"/>
      <c r="F20" s="56"/>
      <c r="G20" s="79"/>
      <c r="H20" s="79"/>
      <c r="I20" s="133"/>
      <c r="J20" s="106"/>
      <c r="K20" s="82"/>
      <c r="L20" s="82"/>
      <c r="M20" s="82"/>
      <c r="N20" s="106"/>
      <c r="O20" s="79"/>
      <c r="P20" s="79"/>
      <c r="Q20" s="134"/>
      <c r="R20" s="128"/>
      <c r="S20" s="128"/>
      <c r="T20" s="128"/>
      <c r="U20" s="128"/>
      <c r="V20" s="122"/>
      <c r="W20" s="63"/>
      <c r="X20" s="63"/>
      <c r="Y20" s="56" t="s">
        <v>450</v>
      </c>
    </row>
    <row r="21" customFormat="false" ht="12.8" hidden="false" customHeight="false" outlineLevel="0" collapsed="false">
      <c r="A21" s="63"/>
      <c r="B21" s="51" t="str">
        <f aca="true">IF(S21&lt;&gt;"",IF(TODAY()&gt;S21,"Inactive","Active"),"Active")</f>
        <v>Active</v>
      </c>
      <c r="C21" s="79"/>
      <c r="D21" s="56"/>
      <c r="E21" s="56"/>
      <c r="F21" s="56"/>
      <c r="G21" s="79"/>
      <c r="H21" s="79"/>
      <c r="I21" s="133"/>
      <c r="J21" s="106"/>
      <c r="K21" s="82"/>
      <c r="L21" s="82"/>
      <c r="M21" s="82"/>
      <c r="N21" s="106"/>
      <c r="O21" s="79"/>
      <c r="P21" s="79"/>
      <c r="Q21" s="134"/>
      <c r="R21" s="128"/>
      <c r="S21" s="128"/>
      <c r="T21" s="128"/>
      <c r="U21" s="128"/>
      <c r="V21" s="122"/>
      <c r="W21" s="63"/>
      <c r="X21" s="63"/>
      <c r="Y21" s="56" t="s">
        <v>450</v>
      </c>
    </row>
    <row r="22" customFormat="false" ht="12.8" hidden="false" customHeight="false" outlineLevel="0" collapsed="false">
      <c r="A22" s="63"/>
      <c r="B22" s="51" t="str">
        <f aca="true">IF(S22&lt;&gt;"",IF(TODAY()&gt;S22,"Inactive","Active"),"Active")</f>
        <v>Active</v>
      </c>
      <c r="C22" s="79"/>
      <c r="D22" s="56"/>
      <c r="E22" s="56"/>
      <c r="F22" s="56"/>
      <c r="G22" s="79"/>
      <c r="H22" s="79"/>
      <c r="I22" s="133"/>
      <c r="J22" s="106"/>
      <c r="K22" s="82"/>
      <c r="L22" s="82"/>
      <c r="M22" s="82"/>
      <c r="N22" s="106"/>
      <c r="O22" s="79"/>
      <c r="P22" s="79"/>
      <c r="Q22" s="134"/>
      <c r="R22" s="128"/>
      <c r="S22" s="128"/>
      <c r="T22" s="128"/>
      <c r="U22" s="128"/>
      <c r="V22" s="122"/>
      <c r="W22" s="63"/>
      <c r="X22" s="63"/>
      <c r="Y22" s="56" t="s">
        <v>450</v>
      </c>
    </row>
    <row r="23" customFormat="false" ht="12.8" hidden="false" customHeight="false" outlineLevel="0" collapsed="false">
      <c r="A23" s="63"/>
      <c r="B23" s="51" t="str">
        <f aca="true">IF(S23&lt;&gt;"",IF(TODAY()&gt;S23,"Inactive","Active"),"Active")</f>
        <v>Active</v>
      </c>
      <c r="C23" s="79"/>
      <c r="D23" s="56"/>
      <c r="E23" s="56"/>
      <c r="F23" s="56"/>
      <c r="G23" s="79"/>
      <c r="H23" s="79"/>
      <c r="I23" s="133"/>
      <c r="J23" s="106"/>
      <c r="K23" s="82"/>
      <c r="L23" s="82"/>
      <c r="M23" s="82"/>
      <c r="N23" s="106"/>
      <c r="O23" s="79"/>
      <c r="P23" s="79"/>
      <c r="Q23" s="134"/>
      <c r="R23" s="128"/>
      <c r="S23" s="128"/>
      <c r="T23" s="128"/>
      <c r="U23" s="128"/>
      <c r="V23" s="122"/>
      <c r="W23" s="63"/>
      <c r="X23" s="63"/>
      <c r="Y23" s="56" t="s">
        <v>450</v>
      </c>
    </row>
    <row r="24" customFormat="false" ht="12.8" hidden="false" customHeight="false" outlineLevel="0" collapsed="false">
      <c r="A24" s="63"/>
      <c r="B24" s="51" t="str">
        <f aca="true">IF(S24&lt;&gt;"",IF(TODAY()&gt;S24,"Inactive","Active"),"Active")</f>
        <v>Active</v>
      </c>
      <c r="C24" s="79"/>
      <c r="D24" s="56"/>
      <c r="E24" s="56"/>
      <c r="F24" s="56"/>
      <c r="G24" s="79"/>
      <c r="H24" s="79"/>
      <c r="I24" s="133"/>
      <c r="J24" s="106"/>
      <c r="K24" s="82"/>
      <c r="L24" s="82"/>
      <c r="M24" s="82"/>
      <c r="N24" s="106"/>
      <c r="O24" s="79"/>
      <c r="P24" s="79"/>
      <c r="Q24" s="134"/>
      <c r="R24" s="128"/>
      <c r="S24" s="128"/>
      <c r="T24" s="128"/>
      <c r="U24" s="128"/>
      <c r="V24" s="122"/>
      <c r="W24" s="63"/>
      <c r="X24" s="63"/>
      <c r="Y24" s="56" t="s">
        <v>450</v>
      </c>
    </row>
    <row r="25" customFormat="false" ht="12.8" hidden="false" customHeight="false" outlineLevel="0" collapsed="false">
      <c r="A25" s="63"/>
      <c r="B25" s="51" t="str">
        <f aca="true">IF(S25&lt;&gt;"",IF(TODAY()&gt;S25,"Inactive","Active"),"Active")</f>
        <v>Active</v>
      </c>
      <c r="C25" s="79"/>
      <c r="D25" s="56"/>
      <c r="E25" s="56"/>
      <c r="F25" s="56"/>
      <c r="G25" s="79"/>
      <c r="H25" s="79"/>
      <c r="I25" s="133"/>
      <c r="J25" s="106"/>
      <c r="K25" s="82"/>
      <c r="L25" s="82"/>
      <c r="M25" s="82"/>
      <c r="N25" s="106"/>
      <c r="O25" s="79"/>
      <c r="P25" s="79"/>
      <c r="Q25" s="134"/>
      <c r="R25" s="128"/>
      <c r="S25" s="128"/>
      <c r="T25" s="128"/>
      <c r="U25" s="128"/>
      <c r="V25" s="122"/>
      <c r="W25" s="63"/>
      <c r="X25" s="63"/>
      <c r="Y25" s="56" t="s">
        <v>450</v>
      </c>
    </row>
    <row r="26" customFormat="false" ht="12.8" hidden="false" customHeight="false" outlineLevel="0" collapsed="false">
      <c r="A26" s="63"/>
      <c r="B26" s="51" t="str">
        <f aca="true">IF(S26&lt;&gt;"",IF(TODAY()&gt;S26,"Inactive","Active"),"Active")</f>
        <v>Active</v>
      </c>
      <c r="C26" s="79"/>
      <c r="D26" s="56"/>
      <c r="E26" s="56"/>
      <c r="F26" s="56"/>
      <c r="G26" s="79"/>
      <c r="H26" s="79"/>
      <c r="I26" s="133"/>
      <c r="J26" s="106"/>
      <c r="K26" s="82"/>
      <c r="L26" s="82"/>
      <c r="M26" s="82"/>
      <c r="N26" s="106"/>
      <c r="O26" s="79"/>
      <c r="P26" s="79"/>
      <c r="Q26" s="134"/>
      <c r="R26" s="128"/>
      <c r="S26" s="128"/>
      <c r="T26" s="128"/>
      <c r="U26" s="128"/>
      <c r="V26" s="122"/>
      <c r="W26" s="63"/>
      <c r="X26" s="63"/>
      <c r="Y26" s="56" t="s">
        <v>450</v>
      </c>
    </row>
    <row r="27" customFormat="false" ht="12.8" hidden="false" customHeight="false" outlineLevel="0" collapsed="false">
      <c r="A27" s="63"/>
      <c r="B27" s="51" t="str">
        <f aca="true">IF(S27&lt;&gt;"",IF(TODAY()&gt;S27,"Inactive","Active"),"Active")</f>
        <v>Active</v>
      </c>
      <c r="C27" s="79"/>
      <c r="D27" s="56"/>
      <c r="E27" s="56"/>
      <c r="F27" s="56"/>
      <c r="G27" s="79"/>
      <c r="H27" s="79"/>
      <c r="I27" s="133"/>
      <c r="J27" s="106"/>
      <c r="K27" s="82"/>
      <c r="L27" s="82"/>
      <c r="M27" s="82"/>
      <c r="N27" s="106"/>
      <c r="O27" s="79"/>
      <c r="P27" s="79"/>
      <c r="Q27" s="134"/>
      <c r="R27" s="128"/>
      <c r="S27" s="128"/>
      <c r="T27" s="128"/>
      <c r="U27" s="128"/>
      <c r="V27" s="122"/>
      <c r="W27" s="63"/>
      <c r="X27" s="63"/>
      <c r="Y27" s="56" t="s">
        <v>450</v>
      </c>
    </row>
    <row r="28" customFormat="false" ht="12.8" hidden="false" customHeight="false" outlineLevel="0" collapsed="false">
      <c r="A28" s="63"/>
      <c r="B28" s="51" t="str">
        <f aca="true">IF(S28&lt;&gt;"",IF(TODAY()&gt;S28,"Inactive","Active"),"Active")</f>
        <v>Active</v>
      </c>
      <c r="C28" s="79"/>
      <c r="D28" s="56"/>
      <c r="E28" s="56"/>
      <c r="F28" s="56"/>
      <c r="G28" s="79"/>
      <c r="H28" s="79"/>
      <c r="I28" s="133"/>
      <c r="J28" s="106"/>
      <c r="K28" s="82"/>
      <c r="L28" s="82"/>
      <c r="M28" s="82"/>
      <c r="N28" s="106"/>
      <c r="O28" s="79"/>
      <c r="P28" s="79"/>
      <c r="Q28" s="134"/>
      <c r="R28" s="128"/>
      <c r="S28" s="128"/>
      <c r="T28" s="128"/>
      <c r="U28" s="128"/>
      <c r="V28" s="122"/>
      <c r="W28" s="63"/>
      <c r="X28" s="63"/>
      <c r="Y28" s="56" t="s">
        <v>450</v>
      </c>
    </row>
    <row r="29" customFormat="false" ht="12.8" hidden="false" customHeight="false" outlineLevel="0" collapsed="false">
      <c r="A29" s="63"/>
      <c r="B29" s="51" t="str">
        <f aca="true">IF(S29&lt;&gt;"",IF(TODAY()&gt;S29,"Inactive","Active"),"Active")</f>
        <v>Active</v>
      </c>
      <c r="C29" s="79"/>
      <c r="D29" s="56"/>
      <c r="E29" s="56"/>
      <c r="F29" s="56"/>
      <c r="G29" s="79"/>
      <c r="H29" s="79"/>
      <c r="I29" s="133"/>
      <c r="J29" s="106"/>
      <c r="K29" s="82"/>
      <c r="L29" s="82"/>
      <c r="M29" s="82"/>
      <c r="N29" s="106"/>
      <c r="O29" s="79"/>
      <c r="P29" s="79"/>
      <c r="Q29" s="134"/>
      <c r="R29" s="128"/>
      <c r="S29" s="128"/>
      <c r="T29" s="128"/>
      <c r="U29" s="128"/>
      <c r="V29" s="122"/>
      <c r="W29" s="63"/>
      <c r="X29" s="63"/>
      <c r="Y29" s="56" t="s">
        <v>450</v>
      </c>
    </row>
    <row r="30" customFormat="false" ht="12.8" hidden="false" customHeight="false" outlineLevel="0" collapsed="false">
      <c r="A30" s="63"/>
      <c r="B30" s="51" t="str">
        <f aca="true">IF(S30&lt;&gt;"",IF(TODAY()&gt;S30,"Inactive","Active"),"Active")</f>
        <v>Active</v>
      </c>
      <c r="C30" s="79"/>
      <c r="D30" s="56"/>
      <c r="E30" s="56"/>
      <c r="F30" s="56"/>
      <c r="G30" s="79"/>
      <c r="H30" s="79"/>
      <c r="I30" s="133"/>
      <c r="J30" s="106"/>
      <c r="K30" s="82"/>
      <c r="L30" s="82"/>
      <c r="M30" s="82"/>
      <c r="N30" s="106"/>
      <c r="O30" s="79"/>
      <c r="P30" s="79"/>
      <c r="Q30" s="134"/>
      <c r="R30" s="128"/>
      <c r="S30" s="128"/>
      <c r="T30" s="128"/>
      <c r="U30" s="128"/>
      <c r="V30" s="122"/>
      <c r="W30" s="63"/>
      <c r="X30" s="63"/>
      <c r="Y30" s="56" t="s">
        <v>450</v>
      </c>
    </row>
    <row r="31" customFormat="false" ht="12.8" hidden="false" customHeight="false" outlineLevel="0" collapsed="false">
      <c r="A31" s="63"/>
      <c r="B31" s="51" t="str">
        <f aca="true">IF(S31&lt;&gt;"",IF(TODAY()&gt;S31,"Inactive","Active"),"Active")</f>
        <v>Active</v>
      </c>
      <c r="C31" s="79"/>
      <c r="D31" s="56"/>
      <c r="E31" s="56"/>
      <c r="F31" s="56"/>
      <c r="G31" s="79"/>
      <c r="H31" s="79"/>
      <c r="I31" s="133"/>
      <c r="J31" s="106"/>
      <c r="K31" s="82"/>
      <c r="L31" s="82"/>
      <c r="M31" s="82"/>
      <c r="N31" s="106"/>
      <c r="O31" s="79"/>
      <c r="P31" s="79"/>
      <c r="Q31" s="134"/>
      <c r="R31" s="128"/>
      <c r="S31" s="128"/>
      <c r="T31" s="128"/>
      <c r="U31" s="128"/>
      <c r="V31" s="122"/>
      <c r="W31" s="63"/>
      <c r="X31" s="63"/>
      <c r="Y31" s="56" t="s">
        <v>450</v>
      </c>
    </row>
    <row r="32" customFormat="false" ht="12.8" hidden="false" customHeight="false" outlineLevel="0" collapsed="false">
      <c r="A32" s="63"/>
      <c r="B32" s="51" t="str">
        <f aca="true">IF(S32&lt;&gt;"",IF(TODAY()&gt;S32,"Inactive","Active"),"Active")</f>
        <v>Active</v>
      </c>
      <c r="C32" s="79"/>
      <c r="D32" s="56"/>
      <c r="E32" s="56"/>
      <c r="F32" s="56"/>
      <c r="G32" s="79"/>
      <c r="H32" s="79"/>
      <c r="I32" s="133"/>
      <c r="J32" s="106"/>
      <c r="K32" s="82"/>
      <c r="L32" s="82"/>
      <c r="M32" s="82"/>
      <c r="N32" s="106"/>
      <c r="O32" s="79"/>
      <c r="P32" s="79"/>
      <c r="Q32" s="134"/>
      <c r="R32" s="128"/>
      <c r="S32" s="128"/>
      <c r="T32" s="128"/>
      <c r="U32" s="128"/>
      <c r="V32" s="122"/>
      <c r="W32" s="63"/>
      <c r="X32" s="63"/>
      <c r="Y32" s="56" t="s">
        <v>450</v>
      </c>
    </row>
    <row r="33" customFormat="false" ht="12.8" hidden="false" customHeight="false" outlineLevel="0" collapsed="false">
      <c r="A33" s="63"/>
      <c r="B33" s="51" t="str">
        <f aca="true">IF(S33&lt;&gt;"",IF(TODAY()&gt;S33,"Inactive","Active"),"Active")</f>
        <v>Active</v>
      </c>
      <c r="C33" s="79"/>
      <c r="D33" s="56"/>
      <c r="E33" s="56"/>
      <c r="F33" s="56"/>
      <c r="G33" s="79"/>
      <c r="H33" s="79"/>
      <c r="I33" s="133"/>
      <c r="J33" s="106"/>
      <c r="K33" s="82"/>
      <c r="L33" s="82"/>
      <c r="M33" s="82"/>
      <c r="N33" s="106"/>
      <c r="O33" s="79"/>
      <c r="P33" s="79"/>
      <c r="Q33" s="134"/>
      <c r="R33" s="128"/>
      <c r="S33" s="128"/>
      <c r="T33" s="128"/>
      <c r="U33" s="128"/>
      <c r="V33" s="122"/>
      <c r="W33" s="63"/>
      <c r="X33" s="63"/>
      <c r="Y33" s="56" t="s">
        <v>450</v>
      </c>
    </row>
    <row r="34" customFormat="false" ht="12.8" hidden="false" customHeight="false" outlineLevel="0" collapsed="false">
      <c r="A34" s="63"/>
      <c r="B34" s="51" t="str">
        <f aca="true">IF(S34&lt;&gt;"",IF(TODAY()&gt;S34,"Inactive","Active"),"Active")</f>
        <v>Active</v>
      </c>
      <c r="C34" s="79"/>
      <c r="D34" s="56"/>
      <c r="E34" s="56"/>
      <c r="F34" s="56"/>
      <c r="G34" s="79"/>
      <c r="H34" s="79"/>
      <c r="I34" s="133"/>
      <c r="J34" s="106"/>
      <c r="K34" s="82"/>
      <c r="L34" s="82"/>
      <c r="M34" s="82"/>
      <c r="N34" s="106"/>
      <c r="O34" s="79"/>
      <c r="P34" s="79"/>
      <c r="Q34" s="134"/>
      <c r="R34" s="128"/>
      <c r="S34" s="128"/>
      <c r="T34" s="128"/>
      <c r="U34" s="128"/>
      <c r="V34" s="122"/>
      <c r="W34" s="63"/>
      <c r="X34" s="63"/>
      <c r="Y34" s="56" t="s">
        <v>450</v>
      </c>
    </row>
    <row r="35" customFormat="false" ht="12.8" hidden="false" customHeight="false" outlineLevel="0" collapsed="false">
      <c r="A35" s="63"/>
      <c r="B35" s="51" t="str">
        <f aca="true">IF(S35&lt;&gt;"",IF(TODAY()&gt;S35,"Inactive","Active"),"Active")</f>
        <v>Active</v>
      </c>
      <c r="C35" s="79"/>
      <c r="D35" s="56"/>
      <c r="E35" s="56"/>
      <c r="F35" s="56"/>
      <c r="G35" s="79"/>
      <c r="H35" s="79"/>
      <c r="I35" s="133"/>
      <c r="J35" s="106"/>
      <c r="K35" s="82"/>
      <c r="L35" s="82"/>
      <c r="M35" s="82"/>
      <c r="N35" s="106"/>
      <c r="O35" s="79"/>
      <c r="P35" s="79"/>
      <c r="Q35" s="134"/>
      <c r="R35" s="128"/>
      <c r="S35" s="128"/>
      <c r="T35" s="128"/>
      <c r="U35" s="128"/>
      <c r="V35" s="122"/>
      <c r="W35" s="63"/>
      <c r="X35" s="63"/>
      <c r="Y35" s="56" t="s">
        <v>450</v>
      </c>
    </row>
    <row r="36" customFormat="false" ht="12.8" hidden="false" customHeight="false" outlineLevel="0" collapsed="false">
      <c r="A36" s="63"/>
      <c r="B36" s="51" t="str">
        <f aca="true">IF(S36&lt;&gt;"",IF(TODAY()&gt;S36,"Inactive","Active"),"Active")</f>
        <v>Active</v>
      </c>
      <c r="C36" s="79"/>
      <c r="D36" s="56"/>
      <c r="E36" s="56"/>
      <c r="F36" s="56"/>
      <c r="G36" s="79"/>
      <c r="H36" s="79"/>
      <c r="I36" s="133"/>
      <c r="J36" s="106"/>
      <c r="K36" s="82"/>
      <c r="L36" s="82"/>
      <c r="M36" s="82"/>
      <c r="N36" s="106"/>
      <c r="O36" s="79"/>
      <c r="P36" s="79"/>
      <c r="Q36" s="134"/>
      <c r="R36" s="128"/>
      <c r="S36" s="128"/>
      <c r="T36" s="128"/>
      <c r="U36" s="128"/>
      <c r="V36" s="122"/>
      <c r="W36" s="63"/>
      <c r="X36" s="63"/>
      <c r="Y36" s="56" t="s">
        <v>450</v>
      </c>
    </row>
    <row r="37" customFormat="false" ht="12.8" hidden="false" customHeight="false" outlineLevel="0" collapsed="false">
      <c r="A37" s="63"/>
      <c r="B37" s="51" t="str">
        <f aca="true">IF(S37&lt;&gt;"",IF(TODAY()&gt;S37,"Inactive","Active"),"Active")</f>
        <v>Active</v>
      </c>
      <c r="C37" s="79"/>
      <c r="D37" s="56"/>
      <c r="E37" s="56"/>
      <c r="F37" s="56"/>
      <c r="G37" s="79"/>
      <c r="H37" s="79"/>
      <c r="I37" s="133"/>
      <c r="J37" s="106"/>
      <c r="K37" s="82"/>
      <c r="L37" s="82"/>
      <c r="M37" s="82"/>
      <c r="N37" s="106"/>
      <c r="O37" s="79"/>
      <c r="P37" s="79"/>
      <c r="Q37" s="134"/>
      <c r="R37" s="128"/>
      <c r="S37" s="128"/>
      <c r="T37" s="128"/>
      <c r="U37" s="128"/>
      <c r="V37" s="122"/>
      <c r="W37" s="63"/>
      <c r="X37" s="63"/>
      <c r="Y37" s="56" t="s">
        <v>450</v>
      </c>
    </row>
    <row r="38" customFormat="false" ht="12.8" hidden="false" customHeight="false" outlineLevel="0" collapsed="false">
      <c r="A38" s="63"/>
      <c r="B38" s="51" t="str">
        <f aca="true">IF(S38&lt;&gt;"",IF(TODAY()&gt;S38,"Inactive","Active"),"Active")</f>
        <v>Active</v>
      </c>
      <c r="C38" s="79"/>
      <c r="D38" s="56"/>
      <c r="E38" s="56"/>
      <c r="F38" s="56"/>
      <c r="G38" s="79"/>
      <c r="H38" s="79"/>
      <c r="I38" s="133"/>
      <c r="J38" s="106"/>
      <c r="K38" s="82"/>
      <c r="L38" s="82"/>
      <c r="M38" s="82"/>
      <c r="N38" s="106"/>
      <c r="O38" s="79"/>
      <c r="P38" s="79"/>
      <c r="Q38" s="134"/>
      <c r="R38" s="128"/>
      <c r="S38" s="128"/>
      <c r="T38" s="128"/>
      <c r="U38" s="128"/>
      <c r="V38" s="122"/>
      <c r="W38" s="63"/>
      <c r="X38" s="63"/>
      <c r="Y38" s="56" t="s">
        <v>450</v>
      </c>
    </row>
    <row r="39" customFormat="false" ht="12.8" hidden="false" customHeight="false" outlineLevel="0" collapsed="false">
      <c r="A39" s="63"/>
      <c r="B39" s="51" t="str">
        <f aca="true">IF(S39&lt;&gt;"",IF(TODAY()&gt;S39,"Inactive","Active"),"Active")</f>
        <v>Active</v>
      </c>
      <c r="C39" s="79"/>
      <c r="D39" s="56"/>
      <c r="E39" s="56"/>
      <c r="F39" s="56"/>
      <c r="G39" s="79"/>
      <c r="H39" s="79"/>
      <c r="I39" s="133"/>
      <c r="J39" s="106"/>
      <c r="K39" s="82"/>
      <c r="L39" s="82"/>
      <c r="M39" s="82"/>
      <c r="N39" s="106"/>
      <c r="O39" s="79"/>
      <c r="P39" s="79"/>
      <c r="Q39" s="134"/>
      <c r="R39" s="128"/>
      <c r="S39" s="128"/>
      <c r="T39" s="128"/>
      <c r="U39" s="128"/>
      <c r="V39" s="122"/>
      <c r="W39" s="63"/>
      <c r="X39" s="63"/>
      <c r="Y39" s="56" t="s">
        <v>450</v>
      </c>
    </row>
    <row r="40" customFormat="false" ht="12.8" hidden="false" customHeight="false" outlineLevel="0" collapsed="false">
      <c r="B40" s="2"/>
    </row>
  </sheetData>
  <autoFilter ref="A4:Y39"/>
  <dataValidations count="2">
    <dataValidation allowBlank="true" errorStyle="stop" operator="equal" showDropDown="false" showErrorMessage="true" showInputMessage="false" sqref="C5:C39" type="list">
      <formula1>Static!$AG$5:$AG$6</formula1>
      <formula2>0</formula2>
    </dataValidation>
    <dataValidation allowBlank="true" errorStyle="stop" operator="equal" showDropDown="false" showErrorMessage="true" showInputMessage="false" sqref="H5:H39" type="list">
      <formula1>Static!$AH$5:$AH$14</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41"/>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N4" activePane="bottomRight" state="frozen"/>
      <selection pane="topLeft" activeCell="A1" activeCellId="0" sqref="A1"/>
      <selection pane="topRight" activeCell="N1" activeCellId="0" sqref="N1"/>
      <selection pane="bottomLeft" activeCell="A4" activeCellId="0" sqref="A4"/>
      <selection pane="bottomRight" activeCell="N1" activeCellId="0" sqref="N1"/>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11.38"/>
    <col collapsed="false" customWidth="true" hidden="false" outlineLevel="0" max="4" min="4" style="31" width="13.47"/>
    <col collapsed="false" customWidth="true" hidden="false" outlineLevel="0" max="6" min="6" style="0" width="35.43"/>
    <col collapsed="false" customWidth="true" hidden="false" outlineLevel="0" max="7" min="7" style="31" width="15.28"/>
    <col collapsed="false" customWidth="true" hidden="false" outlineLevel="0" max="8" min="8" style="31" width="15.42"/>
    <col collapsed="false" customWidth="true" hidden="false" outlineLevel="0" max="9" min="9" style="31" width="14.59"/>
    <col collapsed="false" customWidth="true" hidden="false" outlineLevel="0" max="10" min="10" style="2" width="36.68"/>
    <col collapsed="false" customWidth="true" hidden="false" outlineLevel="0" max="11" min="11" style="129" width="15.04"/>
    <col collapsed="false" customWidth="true" hidden="false" outlineLevel="0" max="12" min="12" style="2" width="34.59"/>
    <col collapsed="false" customWidth="true" hidden="false" outlineLevel="0" max="13" min="13" style="2" width="35.58"/>
    <col collapsed="false" customWidth="true" hidden="false" outlineLevel="0" max="14" min="14" style="2" width="20.56"/>
    <col collapsed="false" customWidth="true" hidden="false" outlineLevel="0" max="15" min="15" style="0" width="2.54"/>
  </cols>
  <sheetData>
    <row r="1" s="38" customFormat="true" ht="81.3" hidden="false" customHeight="true" outlineLevel="1" collapsed="false">
      <c r="A1" s="36" t="s">
        <v>782</v>
      </c>
      <c r="B1" s="34" t="s">
        <v>895</v>
      </c>
      <c r="C1" s="34" t="s">
        <v>896</v>
      </c>
      <c r="D1" s="34" t="s">
        <v>852</v>
      </c>
      <c r="E1" s="35" t="s">
        <v>897</v>
      </c>
      <c r="F1" s="35" t="s">
        <v>854</v>
      </c>
      <c r="G1" s="86" t="s">
        <v>898</v>
      </c>
      <c r="H1" s="86" t="s">
        <v>899</v>
      </c>
      <c r="I1" s="86" t="s">
        <v>900</v>
      </c>
      <c r="J1" s="116" t="s">
        <v>901</v>
      </c>
      <c r="K1" s="135" t="s">
        <v>902</v>
      </c>
      <c r="L1" s="116" t="s">
        <v>790</v>
      </c>
      <c r="M1" s="36" t="s">
        <v>870</v>
      </c>
      <c r="N1" s="36" t="s">
        <v>625</v>
      </c>
      <c r="O1" s="36" t="s">
        <v>393</v>
      </c>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16"/>
      <c r="K2" s="135"/>
      <c r="L2" s="116"/>
      <c r="M2" s="36"/>
      <c r="N2" s="36"/>
      <c r="O2" s="36"/>
      <c r="ALZ2" s="0"/>
      <c r="AMA2" s="0"/>
      <c r="AMB2" s="0"/>
      <c r="AMC2" s="0"/>
      <c r="AMD2" s="0"/>
      <c r="AME2" s="0"/>
      <c r="AMF2" s="0"/>
      <c r="AMG2" s="0"/>
      <c r="AMH2" s="0"/>
      <c r="AMI2" s="0"/>
      <c r="AMJ2" s="0"/>
    </row>
    <row r="3" customFormat="false" ht="12.8" hidden="false" customHeight="false" outlineLevel="0" collapsed="false">
      <c r="A3" s="39" t="s">
        <v>394</v>
      </c>
      <c r="B3" s="41" t="s">
        <v>721</v>
      </c>
      <c r="C3" s="41" t="s">
        <v>903</v>
      </c>
      <c r="D3" s="41" t="s">
        <v>872</v>
      </c>
      <c r="E3" s="43" t="s">
        <v>424</v>
      </c>
      <c r="F3" s="43" t="s">
        <v>425</v>
      </c>
      <c r="G3" s="98" t="s">
        <v>738</v>
      </c>
      <c r="H3" s="98" t="s">
        <v>874</v>
      </c>
      <c r="I3" s="98" t="s">
        <v>904</v>
      </c>
      <c r="J3" s="131" t="s">
        <v>905</v>
      </c>
      <c r="K3" s="136" t="s">
        <v>906</v>
      </c>
      <c r="L3" s="131" t="s">
        <v>433</v>
      </c>
      <c r="M3" s="39" t="s">
        <v>434</v>
      </c>
      <c r="N3" s="39" t="s">
        <v>435</v>
      </c>
      <c r="O3" s="43" t="s">
        <v>442</v>
      </c>
    </row>
    <row r="4" customFormat="false" ht="9.7" hidden="false" customHeight="true" outlineLevel="0" collapsed="false">
      <c r="A4" s="45" t="str">
        <f aca="false">A3</f>
        <v>A</v>
      </c>
      <c r="B4" s="46" t="str">
        <f aca="false">B3</f>
        <v>Status</v>
      </c>
      <c r="C4" s="46" t="str">
        <f aca="false">C3</f>
        <v>Asset Type</v>
      </c>
      <c r="D4" s="46" t="str">
        <f aca="false">D3</f>
        <v>Alias</v>
      </c>
      <c r="E4" s="47" t="str">
        <f aca="false">E3</f>
        <v>Name</v>
      </c>
      <c r="F4" s="47" t="str">
        <f aca="false">F3</f>
        <v>Overview</v>
      </c>
      <c r="G4" s="46" t="str">
        <f aca="false">G3</f>
        <v>Link</v>
      </c>
      <c r="H4" s="46" t="str">
        <f aca="false">H3</f>
        <v>Category</v>
      </c>
      <c r="I4" s="46" t="str">
        <f aca="false">G3</f>
        <v>Link</v>
      </c>
      <c r="J4" s="45" t="str">
        <f aca="false">J3</f>
        <v>Output</v>
      </c>
      <c r="K4" s="137" t="str">
        <f aca="false">K3</f>
        <v>Cost</v>
      </c>
      <c r="L4" s="45" t="s">
        <v>433</v>
      </c>
      <c r="M4" s="45" t="str">
        <f aca="false">L3</f>
        <v>Reference</v>
      </c>
      <c r="N4" s="45" t="str">
        <f aca="false">N3</f>
        <v>Tasks</v>
      </c>
      <c r="O4" s="47" t="str">
        <f aca="false">O3</f>
        <v>Z</v>
      </c>
    </row>
    <row r="5" customFormat="false" ht="12.8" hidden="false" customHeight="false" outlineLevel="0" collapsed="false">
      <c r="A5" s="63"/>
      <c r="B5" s="51"/>
      <c r="C5" s="79" t="s">
        <v>907</v>
      </c>
      <c r="D5" s="79" t="str">
        <f aca="false">E5</f>
        <v>Excel</v>
      </c>
      <c r="E5" s="56" t="s">
        <v>908</v>
      </c>
      <c r="F5" s="56" t="s">
        <v>909</v>
      </c>
      <c r="G5" s="106" t="s">
        <v>910</v>
      </c>
      <c r="H5" s="54" t="s">
        <v>911</v>
      </c>
      <c r="I5" s="106" t="s">
        <v>912</v>
      </c>
      <c r="J5" s="82" t="s">
        <v>913</v>
      </c>
      <c r="K5" s="138"/>
      <c r="L5" s="82"/>
      <c r="M5" s="63"/>
      <c r="N5" s="63"/>
      <c r="O5" s="56" t="s">
        <v>450</v>
      </c>
    </row>
    <row r="6" customFormat="false" ht="12.8" hidden="false" customHeight="false" outlineLevel="0" collapsed="false">
      <c r="A6" s="63"/>
      <c r="B6" s="51"/>
      <c r="C6" s="79" t="s">
        <v>907</v>
      </c>
      <c r="D6" s="79" t="str">
        <f aca="false">E6</f>
        <v>Word</v>
      </c>
      <c r="E6" s="56" t="s">
        <v>914</v>
      </c>
      <c r="F6" s="56" t="s">
        <v>915</v>
      </c>
      <c r="G6" s="106" t="s">
        <v>910</v>
      </c>
      <c r="H6" s="54" t="s">
        <v>911</v>
      </c>
      <c r="I6" s="106" t="s">
        <v>912</v>
      </c>
      <c r="J6" s="82" t="s">
        <v>916</v>
      </c>
      <c r="K6" s="138"/>
      <c r="L6" s="82"/>
      <c r="M6" s="63"/>
      <c r="N6" s="63"/>
      <c r="O6" s="56" t="s">
        <v>450</v>
      </c>
    </row>
    <row r="7" customFormat="false" ht="12.8" hidden="false" customHeight="false" outlineLevel="0" collapsed="false">
      <c r="A7" s="63"/>
      <c r="B7" s="51"/>
      <c r="C7" s="79" t="s">
        <v>907</v>
      </c>
      <c r="D7" s="79" t="str">
        <f aca="false">E7</f>
        <v>PowerPoint</v>
      </c>
      <c r="E7" s="56" t="s">
        <v>917</v>
      </c>
      <c r="F7" s="56" t="s">
        <v>918</v>
      </c>
      <c r="G7" s="106" t="s">
        <v>910</v>
      </c>
      <c r="H7" s="54" t="s">
        <v>911</v>
      </c>
      <c r="I7" s="106" t="s">
        <v>912</v>
      </c>
      <c r="J7" s="82" t="s">
        <v>919</v>
      </c>
      <c r="K7" s="138"/>
      <c r="L7" s="82"/>
      <c r="M7" s="63"/>
      <c r="N7" s="63"/>
      <c r="O7" s="56" t="s">
        <v>450</v>
      </c>
    </row>
    <row r="8" customFormat="false" ht="12.8" hidden="false" customHeight="false" outlineLevel="0" collapsed="false">
      <c r="A8" s="63"/>
      <c r="B8" s="51"/>
      <c r="C8" s="79" t="s">
        <v>907</v>
      </c>
      <c r="D8" s="79" t="str">
        <f aca="false">E8</f>
        <v>OneNote</v>
      </c>
      <c r="E8" s="56" t="s">
        <v>920</v>
      </c>
      <c r="F8" s="56" t="s">
        <v>921</v>
      </c>
      <c r="G8" s="106" t="s">
        <v>910</v>
      </c>
      <c r="H8" s="54" t="s">
        <v>911</v>
      </c>
      <c r="I8" s="106" t="s">
        <v>912</v>
      </c>
      <c r="J8" s="82" t="s">
        <v>922</v>
      </c>
      <c r="K8" s="138"/>
      <c r="L8" s="82"/>
      <c r="M8" s="63"/>
      <c r="N8" s="63"/>
      <c r="O8" s="56" t="s">
        <v>450</v>
      </c>
    </row>
    <row r="9" customFormat="false" ht="12.8" hidden="false" customHeight="false" outlineLevel="0" collapsed="false">
      <c r="A9" s="63"/>
      <c r="B9" s="51"/>
      <c r="C9" s="79" t="s">
        <v>907</v>
      </c>
      <c r="D9" s="79" t="str">
        <f aca="false">E9</f>
        <v>Teams</v>
      </c>
      <c r="E9" s="56" t="s">
        <v>923</v>
      </c>
      <c r="F9" s="56" t="s">
        <v>924</v>
      </c>
      <c r="G9" s="106" t="s">
        <v>910</v>
      </c>
      <c r="H9" s="54" t="s">
        <v>911</v>
      </c>
      <c r="I9" s="106" t="s">
        <v>912</v>
      </c>
      <c r="J9" s="82" t="s">
        <v>925</v>
      </c>
      <c r="K9" s="138"/>
      <c r="L9" s="82"/>
      <c r="M9" s="63"/>
      <c r="N9" s="63"/>
      <c r="O9" s="56" t="s">
        <v>450</v>
      </c>
    </row>
    <row r="10" customFormat="false" ht="12.8" hidden="false" customHeight="false" outlineLevel="0" collapsed="false">
      <c r="A10" s="63"/>
      <c r="B10" s="51"/>
      <c r="C10" s="79" t="s">
        <v>907</v>
      </c>
      <c r="D10" s="79" t="str">
        <f aca="false">E10</f>
        <v>Laptop</v>
      </c>
      <c r="E10" s="56" t="s">
        <v>926</v>
      </c>
      <c r="F10" s="56" t="s">
        <v>927</v>
      </c>
      <c r="G10" s="106"/>
      <c r="H10" s="54" t="s">
        <v>928</v>
      </c>
      <c r="I10" s="106" t="s">
        <v>912</v>
      </c>
      <c r="J10" s="82" t="s">
        <v>929</v>
      </c>
      <c r="K10" s="138"/>
      <c r="L10" s="82"/>
      <c r="M10" s="63"/>
      <c r="N10" s="63"/>
      <c r="O10" s="56" t="s">
        <v>450</v>
      </c>
    </row>
    <row r="11" customFormat="false" ht="12.8" hidden="false" customHeight="false" outlineLevel="0" collapsed="false">
      <c r="A11" s="63"/>
      <c r="B11" s="51"/>
      <c r="C11" s="79" t="s">
        <v>888</v>
      </c>
      <c r="D11" s="79" t="s">
        <v>930</v>
      </c>
      <c r="E11" s="56" t="s">
        <v>910</v>
      </c>
      <c r="F11" s="56" t="s">
        <v>931</v>
      </c>
      <c r="G11" s="106"/>
      <c r="H11" s="54" t="s">
        <v>911</v>
      </c>
      <c r="I11" s="106" t="s">
        <v>912</v>
      </c>
      <c r="J11" s="82"/>
      <c r="K11" s="138"/>
      <c r="L11" s="82"/>
      <c r="M11" s="63"/>
      <c r="N11" s="63"/>
      <c r="O11" s="56" t="s">
        <v>450</v>
      </c>
    </row>
    <row r="12" customFormat="false" ht="12.8" hidden="false" customHeight="false" outlineLevel="0" collapsed="false">
      <c r="A12" s="63"/>
      <c r="B12" s="51"/>
      <c r="C12" s="79"/>
      <c r="D12" s="79"/>
      <c r="E12" s="56"/>
      <c r="F12" s="56"/>
      <c r="G12" s="106"/>
      <c r="H12" s="54"/>
      <c r="I12" s="106"/>
      <c r="J12" s="82"/>
      <c r="K12" s="138"/>
      <c r="L12" s="82"/>
      <c r="M12" s="63"/>
      <c r="N12" s="63"/>
      <c r="O12" s="56" t="s">
        <v>450</v>
      </c>
    </row>
    <row r="13" customFormat="false" ht="12.8" hidden="false" customHeight="false" outlineLevel="0" collapsed="false">
      <c r="A13" s="63"/>
      <c r="B13" s="51"/>
      <c r="C13" s="79"/>
      <c r="D13" s="79"/>
      <c r="E13" s="56"/>
      <c r="F13" s="56"/>
      <c r="G13" s="106"/>
      <c r="H13" s="54"/>
      <c r="I13" s="106"/>
      <c r="J13" s="82"/>
      <c r="K13" s="138"/>
      <c r="L13" s="82"/>
      <c r="M13" s="63"/>
      <c r="N13" s="63"/>
      <c r="O13" s="56" t="s">
        <v>450</v>
      </c>
    </row>
    <row r="14" customFormat="false" ht="12.8" hidden="false" customHeight="false" outlineLevel="0" collapsed="false">
      <c r="A14" s="63"/>
      <c r="B14" s="51"/>
      <c r="C14" s="79"/>
      <c r="D14" s="79"/>
      <c r="E14" s="56"/>
      <c r="F14" s="56"/>
      <c r="G14" s="106"/>
      <c r="H14" s="54"/>
      <c r="I14" s="106"/>
      <c r="J14" s="82"/>
      <c r="K14" s="138"/>
      <c r="L14" s="82"/>
      <c r="M14" s="63"/>
      <c r="N14" s="63"/>
      <c r="O14" s="56" t="s">
        <v>450</v>
      </c>
    </row>
    <row r="15" customFormat="false" ht="12.8" hidden="false" customHeight="false" outlineLevel="0" collapsed="false">
      <c r="A15" s="63"/>
      <c r="B15" s="51"/>
      <c r="C15" s="79"/>
      <c r="D15" s="79"/>
      <c r="E15" s="56"/>
      <c r="F15" s="56"/>
      <c r="G15" s="106"/>
      <c r="H15" s="54"/>
      <c r="I15" s="106"/>
      <c r="J15" s="82"/>
      <c r="K15" s="138"/>
      <c r="L15" s="82"/>
      <c r="M15" s="63"/>
      <c r="N15" s="63"/>
      <c r="O15" s="56" t="s">
        <v>450</v>
      </c>
    </row>
    <row r="16" customFormat="false" ht="12.8" hidden="false" customHeight="false" outlineLevel="0" collapsed="false">
      <c r="A16" s="63"/>
      <c r="B16" s="51"/>
      <c r="C16" s="79"/>
      <c r="D16" s="79"/>
      <c r="E16" s="56"/>
      <c r="F16" s="56"/>
      <c r="G16" s="106"/>
      <c r="H16" s="54"/>
      <c r="I16" s="106"/>
      <c r="J16" s="82"/>
      <c r="K16" s="138"/>
      <c r="L16" s="82"/>
      <c r="M16" s="63"/>
      <c r="N16" s="63"/>
      <c r="O16" s="56" t="s">
        <v>450</v>
      </c>
    </row>
    <row r="17" customFormat="false" ht="12.8" hidden="false" customHeight="false" outlineLevel="0" collapsed="false">
      <c r="A17" s="63"/>
      <c r="B17" s="51"/>
      <c r="C17" s="79"/>
      <c r="D17" s="79"/>
      <c r="E17" s="56"/>
      <c r="F17" s="56"/>
      <c r="G17" s="106"/>
      <c r="H17" s="54"/>
      <c r="I17" s="106"/>
      <c r="J17" s="82"/>
      <c r="K17" s="138"/>
      <c r="L17" s="82"/>
      <c r="M17" s="63"/>
      <c r="N17" s="63"/>
      <c r="O17" s="56" t="s">
        <v>450</v>
      </c>
    </row>
    <row r="18" customFormat="false" ht="12.8" hidden="false" customHeight="false" outlineLevel="0" collapsed="false">
      <c r="A18" s="63"/>
      <c r="B18" s="51"/>
      <c r="C18" s="79"/>
      <c r="D18" s="79"/>
      <c r="E18" s="56"/>
      <c r="F18" s="56"/>
      <c r="G18" s="106"/>
      <c r="H18" s="54"/>
      <c r="I18" s="106"/>
      <c r="J18" s="82"/>
      <c r="K18" s="138"/>
      <c r="L18" s="82"/>
      <c r="M18" s="63"/>
      <c r="N18" s="63"/>
      <c r="O18" s="56" t="s">
        <v>450</v>
      </c>
    </row>
    <row r="19" customFormat="false" ht="12.8" hidden="false" customHeight="false" outlineLevel="0" collapsed="false">
      <c r="A19" s="63"/>
      <c r="B19" s="51"/>
      <c r="C19" s="79"/>
      <c r="D19" s="79"/>
      <c r="E19" s="56"/>
      <c r="F19" s="56"/>
      <c r="G19" s="106"/>
      <c r="H19" s="54"/>
      <c r="I19" s="106"/>
      <c r="J19" s="82"/>
      <c r="K19" s="138"/>
      <c r="L19" s="82"/>
      <c r="M19" s="63"/>
      <c r="N19" s="63"/>
      <c r="O19" s="56" t="s">
        <v>450</v>
      </c>
    </row>
    <row r="20" customFormat="false" ht="12.8" hidden="false" customHeight="false" outlineLevel="0" collapsed="false">
      <c r="A20" s="63"/>
      <c r="B20" s="51"/>
      <c r="C20" s="79"/>
      <c r="D20" s="79"/>
      <c r="E20" s="56"/>
      <c r="F20" s="56"/>
      <c r="G20" s="106"/>
      <c r="H20" s="54"/>
      <c r="I20" s="106"/>
      <c r="J20" s="82"/>
      <c r="K20" s="138"/>
      <c r="L20" s="82"/>
      <c r="M20" s="63"/>
      <c r="N20" s="63"/>
      <c r="O20" s="56" t="s">
        <v>450</v>
      </c>
    </row>
    <row r="21" customFormat="false" ht="12.8" hidden="false" customHeight="false" outlineLevel="0" collapsed="false">
      <c r="A21" s="63"/>
      <c r="B21" s="51"/>
      <c r="C21" s="79"/>
      <c r="D21" s="79"/>
      <c r="E21" s="56"/>
      <c r="F21" s="56"/>
      <c r="G21" s="106"/>
      <c r="H21" s="54"/>
      <c r="I21" s="106"/>
      <c r="J21" s="82"/>
      <c r="K21" s="138"/>
      <c r="L21" s="82"/>
      <c r="M21" s="63"/>
      <c r="N21" s="63"/>
      <c r="O21" s="56" t="s">
        <v>450</v>
      </c>
    </row>
    <row r="22" customFormat="false" ht="12.8" hidden="false" customHeight="false" outlineLevel="0" collapsed="false">
      <c r="A22" s="63"/>
      <c r="B22" s="51"/>
      <c r="C22" s="79"/>
      <c r="D22" s="79"/>
      <c r="E22" s="56"/>
      <c r="F22" s="56"/>
      <c r="G22" s="106"/>
      <c r="H22" s="54"/>
      <c r="I22" s="106"/>
      <c r="J22" s="82"/>
      <c r="K22" s="138"/>
      <c r="L22" s="82"/>
      <c r="M22" s="63"/>
      <c r="N22" s="63"/>
      <c r="O22" s="56" t="s">
        <v>450</v>
      </c>
    </row>
    <row r="23" customFormat="false" ht="12.8" hidden="false" customHeight="false" outlineLevel="0" collapsed="false">
      <c r="A23" s="63"/>
      <c r="B23" s="51"/>
      <c r="C23" s="79"/>
      <c r="D23" s="79"/>
      <c r="E23" s="56"/>
      <c r="F23" s="56"/>
      <c r="G23" s="106"/>
      <c r="H23" s="54"/>
      <c r="I23" s="106"/>
      <c r="J23" s="82"/>
      <c r="K23" s="138"/>
      <c r="L23" s="82"/>
      <c r="M23" s="63"/>
      <c r="N23" s="63"/>
      <c r="O23" s="56" t="s">
        <v>450</v>
      </c>
    </row>
    <row r="24" customFormat="false" ht="12.8" hidden="false" customHeight="false" outlineLevel="0" collapsed="false">
      <c r="A24" s="63"/>
      <c r="B24" s="51"/>
      <c r="C24" s="79"/>
      <c r="D24" s="79"/>
      <c r="E24" s="56"/>
      <c r="F24" s="56"/>
      <c r="G24" s="106"/>
      <c r="H24" s="54"/>
      <c r="I24" s="106"/>
      <c r="J24" s="82"/>
      <c r="K24" s="138"/>
      <c r="L24" s="82"/>
      <c r="M24" s="63"/>
      <c r="N24" s="63"/>
      <c r="O24" s="56" t="s">
        <v>450</v>
      </c>
    </row>
    <row r="25" customFormat="false" ht="12.8" hidden="false" customHeight="false" outlineLevel="0" collapsed="false">
      <c r="A25" s="63"/>
      <c r="B25" s="51"/>
      <c r="C25" s="79"/>
      <c r="D25" s="79"/>
      <c r="E25" s="56"/>
      <c r="F25" s="56"/>
      <c r="G25" s="106"/>
      <c r="H25" s="54"/>
      <c r="I25" s="106"/>
      <c r="J25" s="82"/>
      <c r="K25" s="138"/>
      <c r="L25" s="82"/>
      <c r="M25" s="63"/>
      <c r="N25" s="63"/>
      <c r="O25" s="56" t="s">
        <v>450</v>
      </c>
    </row>
    <row r="26" customFormat="false" ht="12.8" hidden="false" customHeight="false" outlineLevel="0" collapsed="false">
      <c r="A26" s="63"/>
      <c r="B26" s="51"/>
      <c r="C26" s="79"/>
      <c r="D26" s="79"/>
      <c r="E26" s="56"/>
      <c r="F26" s="56"/>
      <c r="G26" s="106"/>
      <c r="H26" s="54"/>
      <c r="I26" s="106"/>
      <c r="J26" s="82"/>
      <c r="K26" s="138"/>
      <c r="L26" s="82"/>
      <c r="M26" s="63"/>
      <c r="N26" s="63"/>
      <c r="O26" s="56" t="s">
        <v>450</v>
      </c>
    </row>
    <row r="27" customFormat="false" ht="12.8" hidden="false" customHeight="false" outlineLevel="0" collapsed="false">
      <c r="A27" s="63"/>
      <c r="B27" s="51"/>
      <c r="C27" s="79"/>
      <c r="D27" s="79"/>
      <c r="E27" s="56"/>
      <c r="F27" s="56"/>
      <c r="G27" s="106"/>
      <c r="H27" s="54"/>
      <c r="I27" s="106"/>
      <c r="J27" s="82"/>
      <c r="K27" s="138"/>
      <c r="L27" s="82"/>
      <c r="M27" s="63"/>
      <c r="N27" s="63"/>
      <c r="O27" s="56" t="s">
        <v>450</v>
      </c>
    </row>
    <row r="28" customFormat="false" ht="12.8" hidden="false" customHeight="false" outlineLevel="0" collapsed="false">
      <c r="A28" s="63"/>
      <c r="B28" s="51"/>
      <c r="C28" s="79"/>
      <c r="D28" s="79"/>
      <c r="E28" s="56"/>
      <c r="F28" s="56"/>
      <c r="G28" s="106"/>
      <c r="H28" s="54"/>
      <c r="I28" s="106"/>
      <c r="J28" s="82"/>
      <c r="K28" s="138"/>
      <c r="L28" s="82"/>
      <c r="M28" s="63"/>
      <c r="N28" s="63"/>
      <c r="O28" s="56" t="s">
        <v>450</v>
      </c>
    </row>
    <row r="29" customFormat="false" ht="12.8" hidden="false" customHeight="false" outlineLevel="0" collapsed="false">
      <c r="A29" s="63"/>
      <c r="B29" s="51"/>
      <c r="C29" s="79"/>
      <c r="D29" s="79"/>
      <c r="E29" s="56"/>
      <c r="F29" s="56"/>
      <c r="G29" s="106"/>
      <c r="H29" s="54"/>
      <c r="I29" s="106"/>
      <c r="J29" s="82"/>
      <c r="K29" s="138"/>
      <c r="L29" s="82"/>
      <c r="M29" s="63"/>
      <c r="N29" s="63"/>
      <c r="O29" s="56" t="s">
        <v>450</v>
      </c>
    </row>
    <row r="30" customFormat="false" ht="12.8" hidden="false" customHeight="false" outlineLevel="0" collapsed="false">
      <c r="A30" s="63"/>
      <c r="B30" s="51"/>
      <c r="C30" s="79"/>
      <c r="D30" s="79"/>
      <c r="E30" s="56"/>
      <c r="F30" s="56"/>
      <c r="G30" s="106"/>
      <c r="H30" s="54"/>
      <c r="I30" s="106"/>
      <c r="J30" s="82"/>
      <c r="K30" s="138"/>
      <c r="L30" s="82"/>
      <c r="M30" s="63"/>
      <c r="N30" s="63"/>
      <c r="O30" s="56" t="s">
        <v>450</v>
      </c>
    </row>
    <row r="31" customFormat="false" ht="12.8" hidden="false" customHeight="false" outlineLevel="0" collapsed="false">
      <c r="A31" s="63"/>
      <c r="B31" s="51"/>
      <c r="C31" s="79"/>
      <c r="D31" s="79"/>
      <c r="E31" s="56"/>
      <c r="F31" s="56"/>
      <c r="G31" s="106"/>
      <c r="H31" s="54"/>
      <c r="I31" s="106"/>
      <c r="J31" s="82"/>
      <c r="K31" s="138"/>
      <c r="L31" s="82"/>
      <c r="M31" s="63"/>
      <c r="N31" s="63"/>
      <c r="O31" s="56" t="s">
        <v>450</v>
      </c>
    </row>
    <row r="32" customFormat="false" ht="12.8" hidden="false" customHeight="false" outlineLevel="0" collapsed="false">
      <c r="A32" s="63"/>
      <c r="B32" s="51"/>
      <c r="C32" s="79"/>
      <c r="D32" s="79"/>
      <c r="E32" s="56"/>
      <c r="F32" s="56"/>
      <c r="G32" s="106"/>
      <c r="H32" s="54"/>
      <c r="I32" s="106"/>
      <c r="J32" s="82"/>
      <c r="K32" s="138"/>
      <c r="L32" s="82"/>
      <c r="M32" s="63"/>
      <c r="N32" s="63"/>
      <c r="O32" s="56" t="s">
        <v>450</v>
      </c>
    </row>
    <row r="33" customFormat="false" ht="12.8" hidden="false" customHeight="false" outlineLevel="0" collapsed="false">
      <c r="A33" s="63"/>
      <c r="B33" s="51"/>
      <c r="C33" s="79"/>
      <c r="D33" s="79"/>
      <c r="E33" s="56"/>
      <c r="F33" s="56"/>
      <c r="G33" s="106"/>
      <c r="H33" s="54"/>
      <c r="I33" s="106"/>
      <c r="J33" s="82"/>
      <c r="K33" s="138"/>
      <c r="L33" s="82"/>
      <c r="M33" s="63"/>
      <c r="N33" s="63"/>
      <c r="O33" s="56" t="s">
        <v>450</v>
      </c>
    </row>
    <row r="34" customFormat="false" ht="12.8" hidden="false" customHeight="false" outlineLevel="0" collapsed="false">
      <c r="A34" s="63"/>
      <c r="B34" s="51"/>
      <c r="C34" s="79"/>
      <c r="D34" s="79"/>
      <c r="E34" s="56"/>
      <c r="F34" s="56"/>
      <c r="G34" s="106"/>
      <c r="H34" s="54"/>
      <c r="I34" s="106"/>
      <c r="J34" s="82"/>
      <c r="K34" s="138"/>
      <c r="L34" s="82"/>
      <c r="M34" s="63"/>
      <c r="N34" s="63"/>
      <c r="O34" s="56" t="s">
        <v>450</v>
      </c>
    </row>
    <row r="35" customFormat="false" ht="12.8" hidden="false" customHeight="false" outlineLevel="0" collapsed="false">
      <c r="A35" s="63"/>
      <c r="B35" s="51"/>
      <c r="C35" s="79"/>
      <c r="D35" s="79"/>
      <c r="E35" s="56"/>
      <c r="F35" s="56"/>
      <c r="G35" s="106"/>
      <c r="H35" s="54"/>
      <c r="I35" s="106"/>
      <c r="J35" s="82"/>
      <c r="K35" s="138"/>
      <c r="L35" s="82"/>
      <c r="M35" s="63"/>
      <c r="N35" s="63"/>
      <c r="O35" s="56" t="s">
        <v>450</v>
      </c>
    </row>
    <row r="36" customFormat="false" ht="12.8" hidden="false" customHeight="false" outlineLevel="0" collapsed="false">
      <c r="A36" s="63"/>
      <c r="B36" s="51"/>
      <c r="C36" s="79"/>
      <c r="D36" s="79"/>
      <c r="E36" s="56"/>
      <c r="F36" s="56"/>
      <c r="G36" s="106"/>
      <c r="H36" s="54"/>
      <c r="I36" s="106"/>
      <c r="J36" s="82"/>
      <c r="K36" s="138"/>
      <c r="L36" s="82"/>
      <c r="M36" s="63"/>
      <c r="N36" s="63"/>
      <c r="O36" s="56" t="s">
        <v>450</v>
      </c>
    </row>
    <row r="37" customFormat="false" ht="12.8" hidden="false" customHeight="false" outlineLevel="0" collapsed="false">
      <c r="A37" s="63"/>
      <c r="B37" s="51"/>
      <c r="C37" s="79"/>
      <c r="D37" s="79"/>
      <c r="E37" s="56"/>
      <c r="F37" s="56"/>
      <c r="G37" s="106"/>
      <c r="H37" s="54"/>
      <c r="I37" s="106"/>
      <c r="J37" s="82"/>
      <c r="K37" s="138"/>
      <c r="L37" s="82"/>
      <c r="M37" s="63"/>
      <c r="N37" s="63"/>
      <c r="O37" s="56" t="s">
        <v>450</v>
      </c>
    </row>
    <row r="38" customFormat="false" ht="12.8" hidden="false" customHeight="false" outlineLevel="0" collapsed="false">
      <c r="A38" s="63"/>
      <c r="B38" s="51"/>
      <c r="C38" s="79"/>
      <c r="D38" s="79"/>
      <c r="E38" s="56"/>
      <c r="F38" s="56"/>
      <c r="G38" s="106"/>
      <c r="H38" s="54"/>
      <c r="I38" s="106"/>
      <c r="J38" s="82"/>
      <c r="K38" s="138"/>
      <c r="L38" s="82"/>
      <c r="M38" s="63"/>
      <c r="N38" s="63"/>
      <c r="O38" s="56" t="s">
        <v>450</v>
      </c>
    </row>
    <row r="39" customFormat="false" ht="12.8" hidden="false" customHeight="false" outlineLevel="0" collapsed="false">
      <c r="A39" s="63"/>
      <c r="B39" s="51"/>
      <c r="C39" s="79"/>
      <c r="D39" s="79"/>
      <c r="E39" s="56"/>
      <c r="F39" s="56"/>
      <c r="G39" s="106"/>
      <c r="H39" s="54"/>
      <c r="I39" s="106"/>
      <c r="J39" s="82"/>
      <c r="K39" s="138"/>
      <c r="L39" s="82"/>
      <c r="M39" s="63"/>
      <c r="N39" s="63"/>
      <c r="O39" s="56" t="s">
        <v>450</v>
      </c>
    </row>
    <row r="40" customFormat="false" ht="12.8" hidden="false" customHeight="false" outlineLevel="0" collapsed="false">
      <c r="A40" s="63"/>
      <c r="B40" s="51"/>
      <c r="C40" s="79"/>
      <c r="D40" s="79"/>
      <c r="E40" s="56"/>
      <c r="F40" s="56"/>
      <c r="G40" s="106"/>
      <c r="H40" s="54"/>
      <c r="I40" s="106"/>
      <c r="J40" s="82"/>
      <c r="K40" s="138"/>
      <c r="L40" s="82"/>
      <c r="M40" s="63"/>
      <c r="N40" s="63"/>
      <c r="O40" s="56" t="s">
        <v>450</v>
      </c>
    </row>
    <row r="41" customFormat="false" ht="12.8" hidden="false" customHeight="false" outlineLevel="0" collapsed="false">
      <c r="B41" s="2"/>
    </row>
  </sheetData>
  <autoFilter ref="A4:O40"/>
  <dataValidations count="2">
    <dataValidation allowBlank="true" errorStyle="stop" operator="equal" showDropDown="false" showErrorMessage="true" showInputMessage="false" sqref="C5:C40" type="list">
      <formula1>Static!$AE$5:$AE$6</formula1>
      <formula2>0</formula2>
    </dataValidation>
    <dataValidation allowBlank="true" errorStyle="stop" operator="equal" showDropDown="false" showErrorMessage="true" showInputMessage="false" sqref="H5:H40" type="list">
      <formula1>Static!$AF$5:$AF$9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A6099"/>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H4" activePane="bottomRight" state="frozen"/>
      <selection pane="topLeft" activeCell="A1" activeCellId="0" sqref="A1"/>
      <selection pane="topRight" activeCell="H1" activeCellId="0" sqref="H1"/>
      <selection pane="bottomLeft" activeCell="A4" activeCellId="0" sqref="A4"/>
      <selection pane="bottomRight" activeCell="K6" activeCellId="0" sqref="K6"/>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11.38"/>
    <col collapsed="false" customWidth="true" hidden="false" outlineLevel="0" max="4" min="4" style="31" width="12.64"/>
    <col collapsed="false" customWidth="true" hidden="false" outlineLevel="0" max="6" min="6" style="0" width="41.13"/>
    <col collapsed="false" customWidth="true" hidden="false" outlineLevel="0" max="7" min="7" style="0" width="19.36"/>
    <col collapsed="false" customWidth="true" hidden="false" outlineLevel="0" max="9" min="8" style="31" width="14.59"/>
    <col collapsed="false" customWidth="true" hidden="false" outlineLevel="0" max="10" min="10" style="2" width="43.47"/>
    <col collapsed="false" customWidth="true" hidden="false" outlineLevel="0" max="11" min="11" style="129" width="10.12"/>
    <col collapsed="false" customWidth="true" hidden="false" outlineLevel="0" max="12" min="12" style="31" width="14.69"/>
    <col collapsed="false" customWidth="true" hidden="false" outlineLevel="0" max="13" min="13" style="2" width="13.4"/>
    <col collapsed="false" customWidth="true" hidden="false" outlineLevel="0" max="14" min="14" style="2" width="50.87"/>
    <col collapsed="false" customWidth="true" hidden="false" outlineLevel="0" max="15" min="15" style="2" width="14.69"/>
    <col collapsed="false" customWidth="true" hidden="false" outlineLevel="0" max="16" min="16" style="0" width="2.54"/>
  </cols>
  <sheetData>
    <row r="1" s="38" customFormat="true" ht="81.3" hidden="false" customHeight="true" outlineLevel="1" collapsed="false">
      <c r="A1" s="36" t="s">
        <v>782</v>
      </c>
      <c r="B1" s="34" t="s">
        <v>895</v>
      </c>
      <c r="C1" s="34" t="s">
        <v>932</v>
      </c>
      <c r="D1" s="34" t="s">
        <v>852</v>
      </c>
      <c r="E1" s="35" t="s">
        <v>933</v>
      </c>
      <c r="F1" s="35" t="s">
        <v>854</v>
      </c>
      <c r="G1" s="86" t="s">
        <v>934</v>
      </c>
      <c r="H1" s="86" t="s">
        <v>935</v>
      </c>
      <c r="I1" s="86" t="s">
        <v>936</v>
      </c>
      <c r="J1" s="116" t="s">
        <v>937</v>
      </c>
      <c r="K1" s="135" t="s">
        <v>938</v>
      </c>
      <c r="L1" s="34" t="s">
        <v>939</v>
      </c>
      <c r="M1" s="116" t="s">
        <v>790</v>
      </c>
      <c r="N1" s="36" t="s">
        <v>870</v>
      </c>
      <c r="O1" s="36" t="s">
        <v>625</v>
      </c>
      <c r="P1" s="36" t="s">
        <v>393</v>
      </c>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16"/>
      <c r="K2" s="135"/>
      <c r="L2" s="34"/>
      <c r="M2" s="116"/>
      <c r="N2" s="36"/>
      <c r="O2" s="36"/>
      <c r="P2" s="36"/>
      <c r="AMA2" s="0"/>
      <c r="AMB2" s="0"/>
      <c r="AMC2" s="0"/>
      <c r="AMD2" s="0"/>
      <c r="AME2" s="0"/>
      <c r="AMF2" s="0"/>
      <c r="AMG2" s="0"/>
      <c r="AMH2" s="0"/>
      <c r="AMI2" s="0"/>
      <c r="AMJ2" s="0"/>
    </row>
    <row r="3" customFormat="false" ht="23.85" hidden="false" customHeight="false" outlineLevel="0" collapsed="false">
      <c r="A3" s="39" t="s">
        <v>394</v>
      </c>
      <c r="B3" s="41" t="s">
        <v>721</v>
      </c>
      <c r="C3" s="41" t="s">
        <v>940</v>
      </c>
      <c r="D3" s="41" t="s">
        <v>872</v>
      </c>
      <c r="E3" s="43" t="s">
        <v>424</v>
      </c>
      <c r="F3" s="43" t="s">
        <v>425</v>
      </c>
      <c r="G3" s="43" t="s">
        <v>738</v>
      </c>
      <c r="H3" s="41" t="s">
        <v>941</v>
      </c>
      <c r="I3" s="98" t="s">
        <v>942</v>
      </c>
      <c r="J3" s="131" t="s">
        <v>905</v>
      </c>
      <c r="K3" s="136" t="s">
        <v>906</v>
      </c>
      <c r="L3" s="41" t="s">
        <v>886</v>
      </c>
      <c r="M3" s="131" t="s">
        <v>433</v>
      </c>
      <c r="N3" s="39" t="s">
        <v>434</v>
      </c>
      <c r="O3" s="39" t="s">
        <v>435</v>
      </c>
      <c r="P3" s="43" t="s">
        <v>442</v>
      </c>
    </row>
    <row r="4" customFormat="false" ht="9.7" hidden="false" customHeight="true" outlineLevel="0" collapsed="false">
      <c r="A4" s="45" t="str">
        <f aca="false">A3</f>
        <v>A</v>
      </c>
      <c r="B4" s="46" t="str">
        <f aca="false">B3</f>
        <v>Status</v>
      </c>
      <c r="C4" s="46" t="str">
        <f aca="false">C3</f>
        <v>Supplier Type</v>
      </c>
      <c r="D4" s="46" t="str">
        <f aca="false">D3</f>
        <v>Alias</v>
      </c>
      <c r="E4" s="47" t="str">
        <f aca="false">E3</f>
        <v>Name</v>
      </c>
      <c r="F4" s="47" t="str">
        <f aca="false">F3</f>
        <v>Overview</v>
      </c>
      <c r="G4" s="47" t="str">
        <f aca="false">G3</f>
        <v>Link</v>
      </c>
      <c r="H4" s="46" t="str">
        <f aca="false">H3</f>
        <v>Supplier Category</v>
      </c>
      <c r="I4" s="46" t="str">
        <f aca="false">I3</f>
        <v>Contacts</v>
      </c>
      <c r="J4" s="45" t="str">
        <f aca="false">J3</f>
        <v>Output</v>
      </c>
      <c r="K4" s="137" t="str">
        <f aca="false">K3</f>
        <v>Cost</v>
      </c>
      <c r="L4" s="46" t="str">
        <f aca="false">L3</f>
        <v>ID</v>
      </c>
      <c r="M4" s="137" t="str">
        <f aca="false">M3</f>
        <v>Reference</v>
      </c>
      <c r="N4" s="45" t="str">
        <f aca="false">M3</f>
        <v>Reference</v>
      </c>
      <c r="O4" s="45" t="str">
        <f aca="false">O3</f>
        <v>Tasks</v>
      </c>
      <c r="P4" s="47" t="str">
        <f aca="false">P3</f>
        <v>Z</v>
      </c>
    </row>
    <row r="5" customFormat="false" ht="12.8" hidden="false" customHeight="false" outlineLevel="0" collapsed="false">
      <c r="A5" s="63"/>
      <c r="B5" s="51"/>
      <c r="C5" s="79" t="s">
        <v>888</v>
      </c>
      <c r="D5" s="56"/>
      <c r="E5" s="56" t="s">
        <v>912</v>
      </c>
      <c r="F5" s="56" t="s">
        <v>943</v>
      </c>
      <c r="G5" s="56" t="s">
        <v>944</v>
      </c>
      <c r="H5" s="79" t="s">
        <v>911</v>
      </c>
      <c r="I5" s="106" t="s">
        <v>945</v>
      </c>
      <c r="J5" s="82" t="s">
        <v>946</v>
      </c>
      <c r="K5" s="138"/>
      <c r="L5" s="134" t="s">
        <v>25</v>
      </c>
      <c r="M5" s="82" t="s">
        <v>25</v>
      </c>
      <c r="N5" s="63" t="s">
        <v>25</v>
      </c>
      <c r="O5" s="63"/>
      <c r="P5" s="56" t="s">
        <v>450</v>
      </c>
    </row>
    <row r="6" customFormat="false" ht="12.8" hidden="false" customHeight="false" outlineLevel="0" collapsed="false">
      <c r="A6" s="63"/>
      <c r="B6" s="51"/>
      <c r="C6" s="79" t="s">
        <v>888</v>
      </c>
      <c r="D6" s="56"/>
      <c r="E6" s="56" t="s">
        <v>947</v>
      </c>
      <c r="F6" s="56" t="s">
        <v>948</v>
      </c>
      <c r="G6" s="56" t="s">
        <v>949</v>
      </c>
      <c r="H6" s="79" t="s">
        <v>950</v>
      </c>
      <c r="I6" s="106"/>
      <c r="J6" s="82" t="s">
        <v>951</v>
      </c>
      <c r="K6" s="138"/>
      <c r="L6" s="134" t="s">
        <v>25</v>
      </c>
      <c r="M6" s="82" t="s">
        <v>25</v>
      </c>
      <c r="N6" s="63" t="s">
        <v>25</v>
      </c>
      <c r="O6" s="63"/>
      <c r="P6" s="56" t="s">
        <v>450</v>
      </c>
    </row>
    <row r="7" customFormat="false" ht="12.8" hidden="false" customHeight="false" outlineLevel="0" collapsed="false">
      <c r="A7" s="63"/>
      <c r="B7" s="51"/>
      <c r="C7" s="79"/>
      <c r="D7" s="56"/>
      <c r="E7" s="56"/>
      <c r="F7" s="56"/>
      <c r="G7" s="56"/>
      <c r="H7" s="79"/>
      <c r="I7" s="106"/>
      <c r="J7" s="82"/>
      <c r="K7" s="138"/>
      <c r="L7" s="134"/>
      <c r="M7" s="82"/>
      <c r="N7" s="63"/>
      <c r="O7" s="63"/>
      <c r="P7" s="56" t="s">
        <v>450</v>
      </c>
    </row>
    <row r="8" customFormat="false" ht="12.8" hidden="false" customHeight="false" outlineLevel="0" collapsed="false">
      <c r="A8" s="63"/>
      <c r="B8" s="51"/>
      <c r="C8" s="79"/>
      <c r="D8" s="56"/>
      <c r="E8" s="56"/>
      <c r="F8" s="56"/>
      <c r="G8" s="56"/>
      <c r="H8" s="79"/>
      <c r="I8" s="106"/>
      <c r="J8" s="82"/>
      <c r="K8" s="138"/>
      <c r="L8" s="134"/>
      <c r="M8" s="82"/>
      <c r="N8" s="63"/>
      <c r="O8" s="63"/>
      <c r="P8" s="56" t="s">
        <v>450</v>
      </c>
    </row>
    <row r="9" customFormat="false" ht="12.8" hidden="false" customHeight="false" outlineLevel="0" collapsed="false">
      <c r="A9" s="63"/>
      <c r="B9" s="51"/>
      <c r="C9" s="79"/>
      <c r="D9" s="56"/>
      <c r="E9" s="56"/>
      <c r="F9" s="56"/>
      <c r="G9" s="56"/>
      <c r="H9" s="79"/>
      <c r="I9" s="106"/>
      <c r="J9" s="82"/>
      <c r="K9" s="138"/>
      <c r="L9" s="134"/>
      <c r="M9" s="82"/>
      <c r="N9" s="63"/>
      <c r="O9" s="63"/>
      <c r="P9" s="56" t="s">
        <v>450</v>
      </c>
    </row>
    <row r="10" customFormat="false" ht="12.8" hidden="false" customHeight="false" outlineLevel="0" collapsed="false">
      <c r="A10" s="63"/>
      <c r="B10" s="51"/>
      <c r="C10" s="79"/>
      <c r="D10" s="56"/>
      <c r="E10" s="56"/>
      <c r="F10" s="56"/>
      <c r="G10" s="56"/>
      <c r="H10" s="79"/>
      <c r="I10" s="106"/>
      <c r="J10" s="82"/>
      <c r="K10" s="138"/>
      <c r="L10" s="134"/>
      <c r="M10" s="82"/>
      <c r="N10" s="63"/>
      <c r="O10" s="63"/>
      <c r="P10" s="56" t="s">
        <v>450</v>
      </c>
    </row>
    <row r="11" customFormat="false" ht="12.8" hidden="false" customHeight="false" outlineLevel="0" collapsed="false">
      <c r="A11" s="63"/>
      <c r="B11" s="51"/>
      <c r="C11" s="79"/>
      <c r="D11" s="56"/>
      <c r="E11" s="56"/>
      <c r="F11" s="56"/>
      <c r="G11" s="56"/>
      <c r="H11" s="79"/>
      <c r="I11" s="106"/>
      <c r="J11" s="82"/>
      <c r="K11" s="138"/>
      <c r="L11" s="134"/>
      <c r="M11" s="82"/>
      <c r="N11" s="63"/>
      <c r="O11" s="63"/>
      <c r="P11" s="56" t="s">
        <v>450</v>
      </c>
    </row>
    <row r="12" customFormat="false" ht="12.8" hidden="false" customHeight="false" outlineLevel="0" collapsed="false">
      <c r="A12" s="63"/>
      <c r="B12" s="51"/>
      <c r="C12" s="79"/>
      <c r="D12" s="56"/>
      <c r="E12" s="56"/>
      <c r="F12" s="56"/>
      <c r="G12" s="56"/>
      <c r="H12" s="79"/>
      <c r="I12" s="106"/>
      <c r="J12" s="82"/>
      <c r="K12" s="138"/>
      <c r="L12" s="134"/>
      <c r="M12" s="82"/>
      <c r="N12" s="63"/>
      <c r="O12" s="63"/>
      <c r="P12" s="56" t="s">
        <v>450</v>
      </c>
    </row>
    <row r="13" customFormat="false" ht="12.8" hidden="false" customHeight="false" outlineLevel="0" collapsed="false">
      <c r="A13" s="63"/>
      <c r="B13" s="51"/>
      <c r="C13" s="79"/>
      <c r="D13" s="56"/>
      <c r="E13" s="56"/>
      <c r="F13" s="56"/>
      <c r="G13" s="56"/>
      <c r="H13" s="79"/>
      <c r="I13" s="106"/>
      <c r="J13" s="82"/>
      <c r="K13" s="138"/>
      <c r="L13" s="134"/>
      <c r="M13" s="82"/>
      <c r="N13" s="63"/>
      <c r="O13" s="63"/>
      <c r="P13" s="56" t="s">
        <v>450</v>
      </c>
    </row>
    <row r="14" customFormat="false" ht="12.8" hidden="false" customHeight="false" outlineLevel="0" collapsed="false">
      <c r="A14" s="63"/>
      <c r="B14" s="51"/>
      <c r="C14" s="79"/>
      <c r="D14" s="56"/>
      <c r="E14" s="56"/>
      <c r="F14" s="56"/>
      <c r="G14" s="56"/>
      <c r="H14" s="79"/>
      <c r="I14" s="106"/>
      <c r="J14" s="82"/>
      <c r="K14" s="138"/>
      <c r="L14" s="134"/>
      <c r="M14" s="82"/>
      <c r="N14" s="63"/>
      <c r="O14" s="63"/>
      <c r="P14" s="56" t="s">
        <v>450</v>
      </c>
    </row>
    <row r="15" customFormat="false" ht="12.8" hidden="false" customHeight="false" outlineLevel="0" collapsed="false">
      <c r="A15" s="63"/>
      <c r="B15" s="51"/>
      <c r="C15" s="79"/>
      <c r="D15" s="56"/>
      <c r="E15" s="56"/>
      <c r="F15" s="56"/>
      <c r="G15" s="56"/>
      <c r="H15" s="79"/>
      <c r="I15" s="106"/>
      <c r="J15" s="82"/>
      <c r="K15" s="138"/>
      <c r="L15" s="134"/>
      <c r="M15" s="82"/>
      <c r="N15" s="63"/>
      <c r="O15" s="63"/>
      <c r="P15" s="56" t="s">
        <v>450</v>
      </c>
    </row>
    <row r="16" customFormat="false" ht="12.8" hidden="false" customHeight="false" outlineLevel="0" collapsed="false">
      <c r="A16" s="63"/>
      <c r="B16" s="51"/>
      <c r="C16" s="79"/>
      <c r="D16" s="56"/>
      <c r="E16" s="56"/>
      <c r="F16" s="56"/>
      <c r="G16" s="56"/>
      <c r="H16" s="79"/>
      <c r="I16" s="106"/>
      <c r="J16" s="82"/>
      <c r="K16" s="138"/>
      <c r="L16" s="134"/>
      <c r="M16" s="82"/>
      <c r="N16" s="63"/>
      <c r="O16" s="63"/>
      <c r="P16" s="56" t="s">
        <v>450</v>
      </c>
    </row>
    <row r="17" customFormat="false" ht="12.8" hidden="false" customHeight="false" outlineLevel="0" collapsed="false">
      <c r="A17" s="63"/>
      <c r="B17" s="51"/>
      <c r="C17" s="79"/>
      <c r="D17" s="56"/>
      <c r="E17" s="56"/>
      <c r="F17" s="56"/>
      <c r="G17" s="56"/>
      <c r="H17" s="79"/>
      <c r="I17" s="106"/>
      <c r="J17" s="82"/>
      <c r="K17" s="138"/>
      <c r="L17" s="134"/>
      <c r="M17" s="82"/>
      <c r="N17" s="63"/>
      <c r="O17" s="63"/>
      <c r="P17" s="56" t="s">
        <v>450</v>
      </c>
    </row>
    <row r="18" customFormat="false" ht="12.8" hidden="false" customHeight="false" outlineLevel="0" collapsed="false">
      <c r="A18" s="63"/>
      <c r="B18" s="51"/>
      <c r="C18" s="79"/>
      <c r="D18" s="56"/>
      <c r="E18" s="56"/>
      <c r="F18" s="56"/>
      <c r="G18" s="56"/>
      <c r="H18" s="79"/>
      <c r="I18" s="106"/>
      <c r="J18" s="82"/>
      <c r="K18" s="138"/>
      <c r="L18" s="134"/>
      <c r="M18" s="82"/>
      <c r="N18" s="63"/>
      <c r="O18" s="63"/>
      <c r="P18" s="56" t="s">
        <v>450</v>
      </c>
    </row>
    <row r="19" customFormat="false" ht="12.8" hidden="false" customHeight="false" outlineLevel="0" collapsed="false">
      <c r="A19" s="63"/>
      <c r="B19" s="51"/>
      <c r="C19" s="79"/>
      <c r="D19" s="56"/>
      <c r="E19" s="56"/>
      <c r="F19" s="56"/>
      <c r="G19" s="56"/>
      <c r="H19" s="79"/>
      <c r="I19" s="106"/>
      <c r="J19" s="82"/>
      <c r="K19" s="138"/>
      <c r="L19" s="134"/>
      <c r="M19" s="82"/>
      <c r="N19" s="63"/>
      <c r="O19" s="63"/>
      <c r="P19" s="56" t="s">
        <v>450</v>
      </c>
    </row>
    <row r="20" customFormat="false" ht="12.8" hidden="false" customHeight="false" outlineLevel="0" collapsed="false">
      <c r="A20" s="63"/>
      <c r="B20" s="51"/>
      <c r="C20" s="79"/>
      <c r="D20" s="56"/>
      <c r="E20" s="56"/>
      <c r="F20" s="56"/>
      <c r="G20" s="56"/>
      <c r="H20" s="79"/>
      <c r="I20" s="106"/>
      <c r="J20" s="82"/>
      <c r="K20" s="138"/>
      <c r="L20" s="134"/>
      <c r="M20" s="82"/>
      <c r="N20" s="63"/>
      <c r="O20" s="63"/>
      <c r="P20" s="56" t="s">
        <v>450</v>
      </c>
    </row>
    <row r="21" customFormat="false" ht="12.8" hidden="false" customHeight="false" outlineLevel="0" collapsed="false">
      <c r="A21" s="63"/>
      <c r="B21" s="51"/>
      <c r="C21" s="79"/>
      <c r="D21" s="56"/>
      <c r="E21" s="56"/>
      <c r="F21" s="56"/>
      <c r="G21" s="56"/>
      <c r="H21" s="79"/>
      <c r="I21" s="106"/>
      <c r="J21" s="82"/>
      <c r="K21" s="138"/>
      <c r="L21" s="134"/>
      <c r="M21" s="82"/>
      <c r="N21" s="63"/>
      <c r="O21" s="63"/>
      <c r="P21" s="56" t="s">
        <v>450</v>
      </c>
    </row>
    <row r="22" customFormat="false" ht="12.8" hidden="false" customHeight="false" outlineLevel="0" collapsed="false">
      <c r="A22" s="63"/>
      <c r="B22" s="51"/>
      <c r="C22" s="79"/>
      <c r="D22" s="56"/>
      <c r="E22" s="56"/>
      <c r="F22" s="56"/>
      <c r="G22" s="56"/>
      <c r="H22" s="79"/>
      <c r="I22" s="106"/>
      <c r="J22" s="82"/>
      <c r="K22" s="138"/>
      <c r="L22" s="134"/>
      <c r="M22" s="82"/>
      <c r="N22" s="63"/>
      <c r="O22" s="63"/>
      <c r="P22" s="56" t="s">
        <v>450</v>
      </c>
    </row>
    <row r="23" customFormat="false" ht="12.8" hidden="false" customHeight="false" outlineLevel="0" collapsed="false">
      <c r="A23" s="63"/>
      <c r="B23" s="51"/>
      <c r="C23" s="79"/>
      <c r="D23" s="56"/>
      <c r="E23" s="56"/>
      <c r="F23" s="56"/>
      <c r="G23" s="56"/>
      <c r="H23" s="79"/>
      <c r="I23" s="106"/>
      <c r="J23" s="82"/>
      <c r="K23" s="138"/>
      <c r="L23" s="134"/>
      <c r="M23" s="82"/>
      <c r="N23" s="63"/>
      <c r="O23" s="63"/>
      <c r="P23" s="56" t="s">
        <v>450</v>
      </c>
    </row>
    <row r="24" customFormat="false" ht="12.8" hidden="false" customHeight="false" outlineLevel="0" collapsed="false">
      <c r="A24" s="63"/>
      <c r="B24" s="51"/>
      <c r="C24" s="79"/>
      <c r="D24" s="56"/>
      <c r="E24" s="56"/>
      <c r="F24" s="56"/>
      <c r="G24" s="56"/>
      <c r="H24" s="79"/>
      <c r="I24" s="106"/>
      <c r="J24" s="82"/>
      <c r="K24" s="138"/>
      <c r="L24" s="134"/>
      <c r="M24" s="82"/>
      <c r="N24" s="63"/>
      <c r="O24" s="63"/>
      <c r="P24" s="56" t="s">
        <v>450</v>
      </c>
    </row>
    <row r="25" customFormat="false" ht="12.8" hidden="false" customHeight="false" outlineLevel="0" collapsed="false">
      <c r="A25" s="63"/>
      <c r="B25" s="51"/>
      <c r="C25" s="79"/>
      <c r="D25" s="56"/>
      <c r="E25" s="56"/>
      <c r="F25" s="56"/>
      <c r="G25" s="56"/>
      <c r="H25" s="79"/>
      <c r="I25" s="106"/>
      <c r="J25" s="82"/>
      <c r="K25" s="138"/>
      <c r="L25" s="134"/>
      <c r="M25" s="82"/>
      <c r="N25" s="63"/>
      <c r="O25" s="63"/>
      <c r="P25" s="56" t="s">
        <v>450</v>
      </c>
    </row>
    <row r="26" customFormat="false" ht="12.8" hidden="false" customHeight="false" outlineLevel="0" collapsed="false">
      <c r="A26" s="63"/>
      <c r="B26" s="51"/>
      <c r="C26" s="79"/>
      <c r="D26" s="56"/>
      <c r="E26" s="56"/>
      <c r="F26" s="56"/>
      <c r="G26" s="56"/>
      <c r="H26" s="79"/>
      <c r="I26" s="106"/>
      <c r="J26" s="82"/>
      <c r="K26" s="138"/>
      <c r="L26" s="134"/>
      <c r="M26" s="82"/>
      <c r="N26" s="63"/>
      <c r="O26" s="63"/>
      <c r="P26" s="56" t="s">
        <v>450</v>
      </c>
    </row>
    <row r="27" customFormat="false" ht="12.8" hidden="false" customHeight="false" outlineLevel="0" collapsed="false">
      <c r="A27" s="63"/>
      <c r="B27" s="51"/>
      <c r="C27" s="79"/>
      <c r="D27" s="56"/>
      <c r="E27" s="56"/>
      <c r="F27" s="56"/>
      <c r="G27" s="56"/>
      <c r="H27" s="79"/>
      <c r="I27" s="106"/>
      <c r="J27" s="82"/>
      <c r="K27" s="138"/>
      <c r="L27" s="134"/>
      <c r="M27" s="82"/>
      <c r="N27" s="63"/>
      <c r="O27" s="63"/>
      <c r="P27" s="56" t="s">
        <v>450</v>
      </c>
    </row>
    <row r="28" customFormat="false" ht="12.8" hidden="false" customHeight="false" outlineLevel="0" collapsed="false">
      <c r="A28" s="63"/>
      <c r="B28" s="51"/>
      <c r="C28" s="79"/>
      <c r="D28" s="56"/>
      <c r="E28" s="56"/>
      <c r="F28" s="56"/>
      <c r="G28" s="56"/>
      <c r="H28" s="79"/>
      <c r="I28" s="106"/>
      <c r="J28" s="82"/>
      <c r="K28" s="138"/>
      <c r="L28" s="134"/>
      <c r="M28" s="82"/>
      <c r="N28" s="63"/>
      <c r="O28" s="63"/>
      <c r="P28" s="56" t="s">
        <v>450</v>
      </c>
    </row>
    <row r="29" customFormat="false" ht="12.8" hidden="false" customHeight="false" outlineLevel="0" collapsed="false">
      <c r="A29" s="63"/>
      <c r="B29" s="51"/>
      <c r="C29" s="79"/>
      <c r="D29" s="56"/>
      <c r="E29" s="56"/>
      <c r="F29" s="56"/>
      <c r="G29" s="56"/>
      <c r="H29" s="79"/>
      <c r="I29" s="106"/>
      <c r="J29" s="82"/>
      <c r="K29" s="138"/>
      <c r="L29" s="134"/>
      <c r="M29" s="82"/>
      <c r="N29" s="63"/>
      <c r="O29" s="63"/>
      <c r="P29" s="56" t="s">
        <v>450</v>
      </c>
    </row>
    <row r="30" customFormat="false" ht="12.8" hidden="false" customHeight="false" outlineLevel="0" collapsed="false">
      <c r="A30" s="63"/>
      <c r="B30" s="51"/>
      <c r="C30" s="79"/>
      <c r="D30" s="56"/>
      <c r="E30" s="56"/>
      <c r="F30" s="56"/>
      <c r="G30" s="56"/>
      <c r="H30" s="79"/>
      <c r="I30" s="106"/>
      <c r="J30" s="82"/>
      <c r="K30" s="138"/>
      <c r="L30" s="134"/>
      <c r="M30" s="82"/>
      <c r="N30" s="63"/>
      <c r="O30" s="63"/>
      <c r="P30" s="56" t="s">
        <v>450</v>
      </c>
    </row>
    <row r="31" customFormat="false" ht="12.8" hidden="false" customHeight="false" outlineLevel="0" collapsed="false">
      <c r="A31" s="63"/>
      <c r="B31" s="51"/>
      <c r="C31" s="79"/>
      <c r="D31" s="56"/>
      <c r="E31" s="56"/>
      <c r="F31" s="56"/>
      <c r="G31" s="56"/>
      <c r="H31" s="79"/>
      <c r="I31" s="106"/>
      <c r="J31" s="82"/>
      <c r="K31" s="138"/>
      <c r="L31" s="134"/>
      <c r="M31" s="82"/>
      <c r="N31" s="63"/>
      <c r="O31" s="63"/>
      <c r="P31" s="56" t="s">
        <v>450</v>
      </c>
    </row>
    <row r="32" customFormat="false" ht="12.8" hidden="false" customHeight="false" outlineLevel="0" collapsed="false">
      <c r="A32" s="63"/>
      <c r="B32" s="51"/>
      <c r="C32" s="79"/>
      <c r="D32" s="56"/>
      <c r="E32" s="56"/>
      <c r="F32" s="56"/>
      <c r="G32" s="56"/>
      <c r="H32" s="79"/>
      <c r="I32" s="106"/>
      <c r="J32" s="82"/>
      <c r="K32" s="138"/>
      <c r="L32" s="134"/>
      <c r="M32" s="82"/>
      <c r="N32" s="63"/>
      <c r="O32" s="63"/>
      <c r="P32" s="56" t="s">
        <v>450</v>
      </c>
    </row>
    <row r="33" customFormat="false" ht="12.8" hidden="false" customHeight="false" outlineLevel="0" collapsed="false">
      <c r="A33" s="63"/>
      <c r="B33" s="51"/>
      <c r="C33" s="79"/>
      <c r="D33" s="56"/>
      <c r="E33" s="56"/>
      <c r="F33" s="56"/>
      <c r="G33" s="56"/>
      <c r="H33" s="79"/>
      <c r="I33" s="106"/>
      <c r="J33" s="82"/>
      <c r="K33" s="138"/>
      <c r="L33" s="134"/>
      <c r="M33" s="82"/>
      <c r="N33" s="63"/>
      <c r="O33" s="63"/>
      <c r="P33" s="56" t="s">
        <v>450</v>
      </c>
    </row>
    <row r="34" customFormat="false" ht="12.8" hidden="false" customHeight="false" outlineLevel="0" collapsed="false">
      <c r="A34" s="63"/>
      <c r="B34" s="51"/>
      <c r="C34" s="79"/>
      <c r="D34" s="56"/>
      <c r="E34" s="56"/>
      <c r="F34" s="56"/>
      <c r="G34" s="56"/>
      <c r="H34" s="79"/>
      <c r="I34" s="106"/>
      <c r="J34" s="82"/>
      <c r="K34" s="138"/>
      <c r="L34" s="134"/>
      <c r="M34" s="82"/>
      <c r="N34" s="63"/>
      <c r="O34" s="63"/>
      <c r="P34" s="56" t="s">
        <v>450</v>
      </c>
    </row>
    <row r="35" customFormat="false" ht="12.8" hidden="false" customHeight="false" outlineLevel="0" collapsed="false">
      <c r="A35" s="63"/>
      <c r="B35" s="51"/>
      <c r="C35" s="79"/>
      <c r="D35" s="56"/>
      <c r="E35" s="56"/>
      <c r="F35" s="56"/>
      <c r="G35" s="56"/>
      <c r="H35" s="79"/>
      <c r="I35" s="106"/>
      <c r="J35" s="82"/>
      <c r="K35" s="138"/>
      <c r="L35" s="134"/>
      <c r="M35" s="82"/>
      <c r="N35" s="63"/>
      <c r="O35" s="63"/>
      <c r="P35" s="56" t="s">
        <v>450</v>
      </c>
    </row>
    <row r="36" customFormat="false" ht="12.8" hidden="false" customHeight="false" outlineLevel="0" collapsed="false">
      <c r="A36" s="63"/>
      <c r="B36" s="51"/>
      <c r="C36" s="79"/>
      <c r="D36" s="56"/>
      <c r="E36" s="56"/>
      <c r="F36" s="56"/>
      <c r="G36" s="56"/>
      <c r="H36" s="79"/>
      <c r="I36" s="106"/>
      <c r="J36" s="82"/>
      <c r="K36" s="138"/>
      <c r="L36" s="134"/>
      <c r="M36" s="82"/>
      <c r="N36" s="63"/>
      <c r="O36" s="63"/>
      <c r="P36" s="56" t="s">
        <v>450</v>
      </c>
    </row>
    <row r="37" customFormat="false" ht="12.8" hidden="false" customHeight="false" outlineLevel="0" collapsed="false">
      <c r="A37" s="63"/>
      <c r="B37" s="51"/>
      <c r="C37" s="79"/>
      <c r="D37" s="56"/>
      <c r="E37" s="56"/>
      <c r="F37" s="56"/>
      <c r="G37" s="56"/>
      <c r="H37" s="79"/>
      <c r="I37" s="106"/>
      <c r="J37" s="82"/>
      <c r="K37" s="138"/>
      <c r="L37" s="134"/>
      <c r="M37" s="82"/>
      <c r="N37" s="63"/>
      <c r="O37" s="63"/>
      <c r="P37" s="56" t="s">
        <v>450</v>
      </c>
    </row>
    <row r="38" customFormat="false" ht="12.8" hidden="false" customHeight="false" outlineLevel="0" collapsed="false">
      <c r="A38" s="63"/>
      <c r="B38" s="51"/>
      <c r="C38" s="79"/>
      <c r="D38" s="56"/>
      <c r="E38" s="56"/>
      <c r="F38" s="56"/>
      <c r="G38" s="56"/>
      <c r="H38" s="79"/>
      <c r="I38" s="106"/>
      <c r="J38" s="82"/>
      <c r="K38" s="138"/>
      <c r="L38" s="134"/>
      <c r="M38" s="82"/>
      <c r="N38" s="63"/>
      <c r="O38" s="63"/>
      <c r="P38" s="56" t="s">
        <v>450</v>
      </c>
    </row>
    <row r="39" customFormat="false" ht="12.8" hidden="false" customHeight="false" outlineLevel="0" collapsed="false">
      <c r="A39" s="63"/>
      <c r="B39" s="51"/>
      <c r="C39" s="79"/>
      <c r="D39" s="56"/>
      <c r="E39" s="56"/>
      <c r="F39" s="56"/>
      <c r="G39" s="56"/>
      <c r="H39" s="79"/>
      <c r="I39" s="106"/>
      <c r="J39" s="82"/>
      <c r="K39" s="138"/>
      <c r="L39" s="134"/>
      <c r="M39" s="82"/>
      <c r="N39" s="63"/>
      <c r="O39" s="63"/>
      <c r="P39" s="56" t="s">
        <v>450</v>
      </c>
    </row>
    <row r="40" customFormat="false" ht="12.8" hidden="false" customHeight="false" outlineLevel="0" collapsed="false">
      <c r="B40" s="2"/>
    </row>
  </sheetData>
  <autoFilter ref="A4:P39"/>
  <dataValidations count="2">
    <dataValidation allowBlank="true" errorStyle="stop" operator="equal" showDropDown="false" showErrorMessage="true" showInputMessage="false" sqref="C5:C39" type="list">
      <formula1>Static!$AC$5:$AC$6</formula1>
      <formula2>0</formula2>
    </dataValidation>
    <dataValidation allowBlank="true" errorStyle="stop" operator="equal" showDropDown="false" showErrorMessage="true" showInputMessage="false" sqref="H5:H39" type="list">
      <formula1>Static!$AD$5:$AD$12</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L20" activeCellId="0" sqref="L20"/>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8.64"/>
    <col collapsed="false" customWidth="true" hidden="false" outlineLevel="0" max="4" min="4" style="31" width="9.26"/>
    <col collapsed="false" customWidth="true" hidden="false" outlineLevel="0" max="5" min="5" style="0" width="11.52"/>
    <col collapsed="false" customWidth="true" hidden="false" outlineLevel="0" max="6" min="6" style="0" width="12.83"/>
    <col collapsed="false" customWidth="true" hidden="false" outlineLevel="0" max="7" min="7" style="0" width="9.4"/>
    <col collapsed="false" customWidth="true" hidden="false" outlineLevel="0" max="9" min="8" style="31" width="11.52"/>
    <col collapsed="false" customWidth="true" hidden="false" outlineLevel="0" max="10" min="10" style="129" width="10.12"/>
    <col collapsed="false" customWidth="true" hidden="false" outlineLevel="0" max="11" min="11" style="2" width="13.4"/>
    <col collapsed="false" customWidth="true" hidden="false" outlineLevel="0" max="12" min="12" style="2" width="11.27"/>
    <col collapsed="false" customWidth="true" hidden="false" outlineLevel="0" max="13" min="13" style="31" width="11.52"/>
    <col collapsed="false" customWidth="true" hidden="false" outlineLevel="0" max="14" min="14" style="0" width="2.54"/>
    <col collapsed="false" customWidth="true" hidden="false" outlineLevel="0" max="1024" min="1024" style="0" width="11.52"/>
  </cols>
  <sheetData>
    <row r="1" s="38" customFormat="true" ht="81.3" hidden="false" customHeight="true" outlineLevel="1" collapsed="false">
      <c r="A1" s="36" t="s">
        <v>782</v>
      </c>
      <c r="B1" s="34" t="s">
        <v>895</v>
      </c>
      <c r="C1" s="34" t="s">
        <v>952</v>
      </c>
      <c r="D1" s="34" t="s">
        <v>852</v>
      </c>
      <c r="E1" s="35" t="s">
        <v>953</v>
      </c>
      <c r="F1" s="35" t="s">
        <v>854</v>
      </c>
      <c r="G1" s="86" t="s">
        <v>954</v>
      </c>
      <c r="H1" s="86" t="s">
        <v>955</v>
      </c>
      <c r="I1" s="86" t="s">
        <v>956</v>
      </c>
      <c r="J1" s="135" t="s">
        <v>957</v>
      </c>
      <c r="K1" s="116" t="s">
        <v>790</v>
      </c>
      <c r="L1" s="36" t="s">
        <v>870</v>
      </c>
      <c r="M1" s="34" t="s">
        <v>939</v>
      </c>
      <c r="N1" s="36" t="s">
        <v>393</v>
      </c>
      <c r="ALY1" s="0"/>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35"/>
      <c r="K2" s="116"/>
      <c r="L2" s="36"/>
      <c r="M2" s="34"/>
      <c r="N2" s="36"/>
      <c r="ALY2" s="0"/>
      <c r="ALZ2" s="0"/>
      <c r="AMA2" s="0"/>
      <c r="AMB2" s="0"/>
      <c r="AMC2" s="0"/>
      <c r="AMD2" s="0"/>
      <c r="AME2" s="0"/>
      <c r="AMF2" s="0"/>
      <c r="AMG2" s="0"/>
      <c r="AMH2" s="0"/>
      <c r="AMI2" s="0"/>
      <c r="AMJ2" s="0"/>
    </row>
    <row r="3" customFormat="false" ht="23.85" hidden="false" customHeight="false" outlineLevel="0" collapsed="false">
      <c r="A3" s="39" t="s">
        <v>394</v>
      </c>
      <c r="B3" s="41" t="s">
        <v>721</v>
      </c>
      <c r="C3" s="41" t="s">
        <v>958</v>
      </c>
      <c r="D3" s="41" t="s">
        <v>872</v>
      </c>
      <c r="E3" s="43" t="s">
        <v>424</v>
      </c>
      <c r="F3" s="43" t="s">
        <v>425</v>
      </c>
      <c r="G3" s="43" t="s">
        <v>738</v>
      </c>
      <c r="H3" s="41" t="s">
        <v>959</v>
      </c>
      <c r="I3" s="98" t="s">
        <v>798</v>
      </c>
      <c r="J3" s="136" t="s">
        <v>906</v>
      </c>
      <c r="K3" s="131" t="s">
        <v>433</v>
      </c>
      <c r="L3" s="39" t="s">
        <v>434</v>
      </c>
      <c r="M3" s="41" t="s">
        <v>886</v>
      </c>
      <c r="N3" s="43" t="s">
        <v>442</v>
      </c>
    </row>
    <row r="4" customFormat="false" ht="9.7" hidden="false" customHeight="true" outlineLevel="0" collapsed="false">
      <c r="A4" s="45" t="str">
        <f aca="false">A3</f>
        <v>A</v>
      </c>
      <c r="B4" s="46" t="str">
        <f aca="false">B3</f>
        <v>Status</v>
      </c>
      <c r="C4" s="46" t="str">
        <f aca="false">C3</f>
        <v>Service Type</v>
      </c>
      <c r="D4" s="46" t="str">
        <f aca="false">D3</f>
        <v>Alias</v>
      </c>
      <c r="E4" s="47" t="str">
        <f aca="false">E3</f>
        <v>Name</v>
      </c>
      <c r="F4" s="47" t="str">
        <f aca="false">F3</f>
        <v>Overview</v>
      </c>
      <c r="G4" s="47" t="str">
        <f aca="false">G3</f>
        <v>Link</v>
      </c>
      <c r="H4" s="46" t="str">
        <f aca="false">H3</f>
        <v>Service Category</v>
      </c>
      <c r="I4" s="46" t="str">
        <f aca="false">I3</f>
        <v>Activity</v>
      </c>
      <c r="J4" s="137" t="str">
        <f aca="false">J3</f>
        <v>Cost</v>
      </c>
      <c r="K4" s="137" t="str">
        <f aca="false">K3</f>
        <v>Reference</v>
      </c>
      <c r="L4" s="45" t="str">
        <f aca="false">K3</f>
        <v>Reference</v>
      </c>
      <c r="M4" s="46" t="str">
        <f aca="false">M3</f>
        <v>ID</v>
      </c>
      <c r="N4" s="47" t="str">
        <f aca="false">N3</f>
        <v>Z</v>
      </c>
    </row>
    <row r="5" customFormat="false" ht="12.8" hidden="false" customHeight="false" outlineLevel="0" collapsed="false">
      <c r="A5" s="63"/>
      <c r="B5" s="51"/>
      <c r="C5" s="79" t="s">
        <v>960</v>
      </c>
      <c r="D5" s="56"/>
      <c r="E5" s="56"/>
      <c r="F5" s="56"/>
      <c r="G5" s="56"/>
      <c r="H5" s="79"/>
      <c r="I5" s="106"/>
      <c r="J5" s="138"/>
      <c r="K5" s="82" t="s">
        <v>25</v>
      </c>
      <c r="L5" s="63" t="s">
        <v>25</v>
      </c>
      <c r="M5" s="134"/>
      <c r="N5" s="56" t="s">
        <v>450</v>
      </c>
    </row>
    <row r="6" customFormat="false" ht="12.8" hidden="false" customHeight="false" outlineLevel="0" collapsed="false">
      <c r="A6" s="63"/>
      <c r="B6" s="51"/>
      <c r="C6" s="79"/>
      <c r="D6" s="56"/>
      <c r="E6" s="56"/>
      <c r="F6" s="56"/>
      <c r="G6" s="56"/>
      <c r="H6" s="79"/>
      <c r="I6" s="106"/>
      <c r="J6" s="138"/>
      <c r="K6" s="82" t="s">
        <v>25</v>
      </c>
      <c r="L6" s="63" t="s">
        <v>25</v>
      </c>
      <c r="M6" s="134"/>
      <c r="N6" s="56" t="s">
        <v>450</v>
      </c>
    </row>
    <row r="7" customFormat="false" ht="12.8" hidden="false" customHeight="false" outlineLevel="0" collapsed="false">
      <c r="A7" s="63"/>
      <c r="B7" s="51"/>
      <c r="C7" s="79"/>
      <c r="D7" s="56"/>
      <c r="E7" s="56"/>
      <c r="F7" s="56"/>
      <c r="G7" s="56"/>
      <c r="H7" s="79"/>
      <c r="I7" s="106"/>
      <c r="J7" s="138"/>
      <c r="K7" s="82"/>
      <c r="L7" s="63"/>
      <c r="M7" s="134"/>
      <c r="N7" s="56" t="s">
        <v>450</v>
      </c>
    </row>
    <row r="8" customFormat="false" ht="12.8" hidden="false" customHeight="false" outlineLevel="0" collapsed="false">
      <c r="A8" s="63"/>
      <c r="B8" s="51"/>
      <c r="C8" s="79"/>
      <c r="D8" s="56"/>
      <c r="E8" s="56"/>
      <c r="F8" s="56"/>
      <c r="G8" s="56"/>
      <c r="H8" s="79"/>
      <c r="I8" s="106"/>
      <c r="J8" s="138"/>
      <c r="K8" s="82"/>
      <c r="L8" s="63"/>
      <c r="M8" s="134"/>
      <c r="N8" s="56" t="s">
        <v>450</v>
      </c>
    </row>
    <row r="9" customFormat="false" ht="12.8" hidden="false" customHeight="false" outlineLevel="0" collapsed="false">
      <c r="A9" s="63"/>
      <c r="B9" s="51"/>
      <c r="C9" s="79"/>
      <c r="D9" s="56"/>
      <c r="E9" s="56"/>
      <c r="F9" s="56"/>
      <c r="G9" s="56"/>
      <c r="H9" s="79"/>
      <c r="I9" s="106"/>
      <c r="J9" s="138"/>
      <c r="K9" s="82"/>
      <c r="L9" s="63"/>
      <c r="M9" s="134"/>
      <c r="N9" s="56" t="s">
        <v>450</v>
      </c>
    </row>
    <row r="10" customFormat="false" ht="12.8" hidden="false" customHeight="false" outlineLevel="0" collapsed="false">
      <c r="A10" s="63"/>
      <c r="B10" s="51"/>
      <c r="C10" s="79"/>
      <c r="D10" s="56"/>
      <c r="E10" s="56"/>
      <c r="F10" s="56"/>
      <c r="G10" s="56"/>
      <c r="H10" s="79"/>
      <c r="I10" s="106"/>
      <c r="J10" s="138"/>
      <c r="K10" s="82"/>
      <c r="L10" s="63"/>
      <c r="M10" s="134"/>
      <c r="N10" s="56" t="s">
        <v>450</v>
      </c>
    </row>
    <row r="11" customFormat="false" ht="12.8" hidden="false" customHeight="false" outlineLevel="0" collapsed="false">
      <c r="A11" s="63"/>
      <c r="B11" s="51"/>
      <c r="C11" s="79"/>
      <c r="D11" s="56"/>
      <c r="E11" s="56"/>
      <c r="F11" s="56"/>
      <c r="G11" s="56"/>
      <c r="H11" s="79"/>
      <c r="I11" s="106"/>
      <c r="J11" s="138"/>
      <c r="K11" s="82"/>
      <c r="L11" s="63"/>
      <c r="M11" s="134"/>
      <c r="N11" s="56" t="s">
        <v>450</v>
      </c>
    </row>
    <row r="12" customFormat="false" ht="12.8" hidden="false" customHeight="false" outlineLevel="0" collapsed="false">
      <c r="A12" s="63"/>
      <c r="B12" s="51"/>
      <c r="C12" s="79"/>
      <c r="D12" s="56"/>
      <c r="E12" s="56"/>
      <c r="F12" s="56"/>
      <c r="G12" s="56"/>
      <c r="H12" s="79"/>
      <c r="I12" s="106"/>
      <c r="J12" s="138"/>
      <c r="K12" s="82"/>
      <c r="L12" s="63"/>
      <c r="M12" s="134"/>
      <c r="N12" s="56" t="s">
        <v>450</v>
      </c>
    </row>
    <row r="13" customFormat="false" ht="12.8" hidden="false" customHeight="false" outlineLevel="0" collapsed="false">
      <c r="A13" s="63"/>
      <c r="B13" s="51"/>
      <c r="C13" s="79"/>
      <c r="D13" s="56"/>
      <c r="E13" s="56"/>
      <c r="F13" s="56"/>
      <c r="G13" s="56"/>
      <c r="H13" s="79"/>
      <c r="I13" s="106"/>
      <c r="J13" s="138"/>
      <c r="K13" s="82"/>
      <c r="L13" s="63"/>
      <c r="M13" s="134"/>
      <c r="N13" s="56" t="s">
        <v>450</v>
      </c>
    </row>
    <row r="14" customFormat="false" ht="12.8" hidden="false" customHeight="false" outlineLevel="0" collapsed="false">
      <c r="A14" s="63"/>
      <c r="B14" s="51"/>
      <c r="C14" s="79"/>
      <c r="D14" s="56"/>
      <c r="E14" s="56"/>
      <c r="F14" s="56"/>
      <c r="G14" s="56"/>
      <c r="H14" s="79"/>
      <c r="I14" s="106"/>
      <c r="J14" s="138"/>
      <c r="K14" s="82"/>
      <c r="L14" s="63"/>
      <c r="M14" s="134"/>
      <c r="N14" s="56" t="s">
        <v>450</v>
      </c>
    </row>
    <row r="15" customFormat="false" ht="12.8" hidden="false" customHeight="false" outlineLevel="0" collapsed="false">
      <c r="A15" s="63"/>
      <c r="B15" s="51"/>
      <c r="C15" s="79"/>
      <c r="D15" s="56"/>
      <c r="E15" s="56"/>
      <c r="F15" s="56"/>
      <c r="G15" s="56"/>
      <c r="H15" s="79"/>
      <c r="I15" s="106"/>
      <c r="J15" s="138"/>
      <c r="K15" s="82"/>
      <c r="L15" s="63"/>
      <c r="M15" s="134"/>
      <c r="N15" s="56" t="s">
        <v>450</v>
      </c>
    </row>
    <row r="16" customFormat="false" ht="12.8" hidden="false" customHeight="false" outlineLevel="0" collapsed="false">
      <c r="A16" s="63"/>
      <c r="B16" s="51"/>
      <c r="C16" s="79"/>
      <c r="D16" s="56"/>
      <c r="E16" s="56"/>
      <c r="F16" s="56"/>
      <c r="G16" s="56"/>
      <c r="H16" s="79"/>
      <c r="I16" s="106"/>
      <c r="J16" s="138"/>
      <c r="K16" s="82"/>
      <c r="L16" s="63"/>
      <c r="M16" s="134"/>
      <c r="N16" s="56" t="s">
        <v>450</v>
      </c>
    </row>
    <row r="17" customFormat="false" ht="12.8" hidden="false" customHeight="false" outlineLevel="0" collapsed="false">
      <c r="A17" s="63"/>
      <c r="B17" s="51"/>
      <c r="C17" s="79"/>
      <c r="D17" s="56"/>
      <c r="E17" s="56"/>
      <c r="F17" s="56"/>
      <c r="G17" s="56"/>
      <c r="H17" s="79"/>
      <c r="I17" s="106"/>
      <c r="J17" s="138"/>
      <c r="K17" s="82"/>
      <c r="L17" s="63"/>
      <c r="M17" s="134"/>
      <c r="N17" s="56" t="s">
        <v>450</v>
      </c>
    </row>
    <row r="18" customFormat="false" ht="12.8" hidden="false" customHeight="false" outlineLevel="0" collapsed="false">
      <c r="A18" s="63"/>
      <c r="B18" s="51"/>
      <c r="C18" s="79"/>
      <c r="D18" s="56"/>
      <c r="E18" s="56"/>
      <c r="F18" s="56"/>
      <c r="G18" s="56"/>
      <c r="H18" s="79"/>
      <c r="I18" s="106"/>
      <c r="J18" s="138"/>
      <c r="K18" s="82"/>
      <c r="L18" s="63"/>
      <c r="M18" s="134"/>
      <c r="N18" s="56" t="s">
        <v>450</v>
      </c>
    </row>
    <row r="19" customFormat="false" ht="12.8" hidden="false" customHeight="false" outlineLevel="0" collapsed="false">
      <c r="A19" s="63"/>
      <c r="B19" s="51"/>
      <c r="C19" s="79"/>
      <c r="D19" s="56"/>
      <c r="E19" s="56"/>
      <c r="F19" s="56"/>
      <c r="G19" s="56"/>
      <c r="H19" s="79"/>
      <c r="I19" s="106"/>
      <c r="J19" s="138"/>
      <c r="K19" s="82"/>
      <c r="L19" s="63"/>
      <c r="M19" s="134"/>
      <c r="N19" s="56" t="s">
        <v>450</v>
      </c>
    </row>
    <row r="20" customFormat="false" ht="12.8" hidden="false" customHeight="false" outlineLevel="0" collapsed="false">
      <c r="A20" s="63"/>
      <c r="B20" s="51"/>
      <c r="C20" s="79"/>
      <c r="D20" s="56"/>
      <c r="E20" s="56"/>
      <c r="F20" s="56"/>
      <c r="G20" s="56"/>
      <c r="H20" s="79"/>
      <c r="I20" s="106"/>
      <c r="J20" s="138"/>
      <c r="K20" s="82"/>
      <c r="L20" s="63"/>
      <c r="M20" s="134"/>
      <c r="N20" s="56" t="s">
        <v>450</v>
      </c>
    </row>
    <row r="21" customFormat="false" ht="12.8" hidden="false" customHeight="false" outlineLevel="0" collapsed="false">
      <c r="A21" s="63"/>
      <c r="B21" s="51"/>
      <c r="C21" s="79"/>
      <c r="D21" s="56"/>
      <c r="E21" s="56"/>
      <c r="F21" s="56"/>
      <c r="G21" s="56"/>
      <c r="H21" s="79"/>
      <c r="I21" s="106"/>
      <c r="J21" s="138"/>
      <c r="K21" s="82"/>
      <c r="L21" s="63"/>
      <c r="M21" s="134"/>
      <c r="N21" s="56" t="s">
        <v>450</v>
      </c>
    </row>
    <row r="22" customFormat="false" ht="12.8" hidden="false" customHeight="false" outlineLevel="0" collapsed="false">
      <c r="A22" s="63"/>
      <c r="B22" s="51"/>
      <c r="C22" s="79"/>
      <c r="D22" s="56"/>
      <c r="E22" s="56"/>
      <c r="F22" s="56"/>
      <c r="G22" s="56"/>
      <c r="H22" s="79"/>
      <c r="I22" s="106"/>
      <c r="J22" s="138"/>
      <c r="K22" s="82"/>
      <c r="L22" s="63"/>
      <c r="M22" s="134"/>
      <c r="N22" s="56" t="s">
        <v>450</v>
      </c>
    </row>
    <row r="23" customFormat="false" ht="12.8" hidden="false" customHeight="false" outlineLevel="0" collapsed="false">
      <c r="A23" s="63"/>
      <c r="B23" s="51"/>
      <c r="C23" s="79"/>
      <c r="D23" s="56"/>
      <c r="E23" s="56"/>
      <c r="F23" s="56"/>
      <c r="G23" s="56"/>
      <c r="H23" s="79"/>
      <c r="I23" s="106"/>
      <c r="J23" s="138"/>
      <c r="K23" s="82"/>
      <c r="L23" s="63"/>
      <c r="M23" s="134"/>
      <c r="N23" s="56" t="s">
        <v>450</v>
      </c>
    </row>
    <row r="24" customFormat="false" ht="12.8" hidden="false" customHeight="false" outlineLevel="0" collapsed="false">
      <c r="A24" s="63"/>
      <c r="B24" s="51"/>
      <c r="C24" s="79"/>
      <c r="D24" s="56"/>
      <c r="E24" s="56"/>
      <c r="F24" s="56"/>
      <c r="G24" s="56"/>
      <c r="H24" s="79"/>
      <c r="I24" s="106"/>
      <c r="J24" s="138"/>
      <c r="K24" s="82"/>
      <c r="L24" s="63"/>
      <c r="M24" s="134"/>
      <c r="N24" s="56" t="s">
        <v>450</v>
      </c>
    </row>
    <row r="25" customFormat="false" ht="12.8" hidden="false" customHeight="false" outlineLevel="0" collapsed="false">
      <c r="A25" s="63"/>
      <c r="B25" s="51"/>
      <c r="C25" s="79"/>
      <c r="D25" s="56"/>
      <c r="E25" s="56"/>
      <c r="F25" s="56"/>
      <c r="G25" s="56"/>
      <c r="H25" s="79"/>
      <c r="I25" s="106"/>
      <c r="J25" s="138"/>
      <c r="K25" s="82"/>
      <c r="L25" s="63"/>
      <c r="M25" s="134"/>
      <c r="N25" s="56" t="s">
        <v>450</v>
      </c>
    </row>
    <row r="26" customFormat="false" ht="12.8" hidden="false" customHeight="false" outlineLevel="0" collapsed="false">
      <c r="A26" s="63"/>
      <c r="B26" s="51"/>
      <c r="C26" s="79"/>
      <c r="D26" s="56"/>
      <c r="E26" s="56"/>
      <c r="F26" s="56"/>
      <c r="G26" s="56"/>
      <c r="H26" s="79"/>
      <c r="I26" s="106"/>
      <c r="J26" s="138"/>
      <c r="K26" s="82"/>
      <c r="L26" s="63"/>
      <c r="M26" s="134"/>
      <c r="N26" s="56" t="s">
        <v>450</v>
      </c>
    </row>
    <row r="27" customFormat="false" ht="12.8" hidden="false" customHeight="false" outlineLevel="0" collapsed="false">
      <c r="A27" s="63"/>
      <c r="B27" s="51"/>
      <c r="C27" s="79"/>
      <c r="D27" s="56"/>
      <c r="E27" s="56"/>
      <c r="F27" s="56"/>
      <c r="G27" s="56"/>
      <c r="H27" s="79"/>
      <c r="I27" s="106"/>
      <c r="J27" s="138"/>
      <c r="K27" s="82"/>
      <c r="L27" s="63"/>
      <c r="M27" s="134"/>
      <c r="N27" s="56" t="s">
        <v>450</v>
      </c>
    </row>
    <row r="28" customFormat="false" ht="12.8" hidden="false" customHeight="false" outlineLevel="0" collapsed="false">
      <c r="A28" s="63"/>
      <c r="B28" s="51"/>
      <c r="C28" s="79"/>
      <c r="D28" s="56"/>
      <c r="E28" s="56"/>
      <c r="F28" s="56"/>
      <c r="G28" s="56"/>
      <c r="H28" s="79"/>
      <c r="I28" s="106"/>
      <c r="J28" s="138"/>
      <c r="K28" s="82"/>
      <c r="L28" s="63"/>
      <c r="M28" s="134"/>
      <c r="N28" s="56" t="s">
        <v>450</v>
      </c>
    </row>
    <row r="29" customFormat="false" ht="12.8" hidden="false" customHeight="false" outlineLevel="0" collapsed="false">
      <c r="A29" s="63"/>
      <c r="B29" s="51"/>
      <c r="C29" s="79"/>
      <c r="D29" s="56"/>
      <c r="E29" s="56"/>
      <c r="F29" s="56"/>
      <c r="G29" s="56"/>
      <c r="H29" s="79"/>
      <c r="I29" s="106"/>
      <c r="J29" s="138"/>
      <c r="K29" s="82"/>
      <c r="L29" s="63"/>
      <c r="M29" s="134"/>
      <c r="N29" s="56" t="s">
        <v>450</v>
      </c>
    </row>
    <row r="30" customFormat="false" ht="12.8" hidden="false" customHeight="false" outlineLevel="0" collapsed="false">
      <c r="A30" s="63"/>
      <c r="B30" s="51"/>
      <c r="C30" s="79"/>
      <c r="D30" s="56"/>
      <c r="E30" s="56"/>
      <c r="F30" s="56"/>
      <c r="G30" s="56"/>
      <c r="H30" s="79"/>
      <c r="I30" s="106"/>
      <c r="J30" s="138"/>
      <c r="K30" s="82"/>
      <c r="L30" s="63"/>
      <c r="M30" s="134"/>
      <c r="N30" s="56" t="s">
        <v>450</v>
      </c>
    </row>
    <row r="31" customFormat="false" ht="12.8" hidden="false" customHeight="false" outlineLevel="0" collapsed="false">
      <c r="A31" s="63"/>
      <c r="B31" s="51"/>
      <c r="C31" s="79"/>
      <c r="D31" s="56"/>
      <c r="E31" s="56"/>
      <c r="F31" s="56"/>
      <c r="G31" s="56"/>
      <c r="H31" s="79"/>
      <c r="I31" s="106"/>
      <c r="J31" s="138"/>
      <c r="K31" s="82"/>
      <c r="L31" s="63"/>
      <c r="M31" s="134"/>
      <c r="N31" s="56" t="s">
        <v>450</v>
      </c>
    </row>
    <row r="32" customFormat="false" ht="12.8" hidden="false" customHeight="false" outlineLevel="0" collapsed="false">
      <c r="A32" s="63"/>
      <c r="B32" s="51"/>
      <c r="C32" s="79"/>
      <c r="D32" s="56"/>
      <c r="E32" s="56"/>
      <c r="F32" s="56"/>
      <c r="G32" s="56"/>
      <c r="H32" s="79"/>
      <c r="I32" s="106"/>
      <c r="J32" s="138"/>
      <c r="K32" s="82"/>
      <c r="L32" s="63"/>
      <c r="M32" s="134"/>
      <c r="N32" s="56" t="s">
        <v>450</v>
      </c>
    </row>
    <row r="33" customFormat="false" ht="12.8" hidden="false" customHeight="false" outlineLevel="0" collapsed="false">
      <c r="A33" s="63"/>
      <c r="B33" s="51"/>
      <c r="C33" s="79"/>
      <c r="D33" s="56"/>
      <c r="E33" s="56"/>
      <c r="F33" s="56"/>
      <c r="G33" s="56"/>
      <c r="H33" s="79"/>
      <c r="I33" s="106"/>
      <c r="J33" s="138"/>
      <c r="K33" s="82"/>
      <c r="L33" s="63"/>
      <c r="M33" s="134"/>
      <c r="N33" s="56" t="s">
        <v>450</v>
      </c>
    </row>
    <row r="34" customFormat="false" ht="12.8" hidden="false" customHeight="false" outlineLevel="0" collapsed="false">
      <c r="A34" s="63"/>
      <c r="B34" s="51"/>
      <c r="C34" s="79"/>
      <c r="D34" s="56"/>
      <c r="E34" s="56"/>
      <c r="F34" s="56"/>
      <c r="G34" s="56"/>
      <c r="H34" s="79"/>
      <c r="I34" s="106"/>
      <c r="J34" s="138"/>
      <c r="K34" s="82"/>
      <c r="L34" s="63"/>
      <c r="M34" s="134"/>
      <c r="N34" s="56" t="s">
        <v>450</v>
      </c>
    </row>
    <row r="35" customFormat="false" ht="12.8" hidden="false" customHeight="false" outlineLevel="0" collapsed="false">
      <c r="A35" s="63"/>
      <c r="B35" s="51"/>
      <c r="C35" s="79"/>
      <c r="D35" s="56"/>
      <c r="E35" s="56"/>
      <c r="F35" s="56"/>
      <c r="G35" s="56"/>
      <c r="H35" s="79"/>
      <c r="I35" s="106"/>
      <c r="J35" s="138"/>
      <c r="K35" s="82"/>
      <c r="L35" s="63"/>
      <c r="M35" s="134"/>
      <c r="N35" s="56" t="s">
        <v>450</v>
      </c>
    </row>
    <row r="36" customFormat="false" ht="12.8" hidden="false" customHeight="false" outlineLevel="0" collapsed="false">
      <c r="A36" s="63"/>
      <c r="B36" s="51"/>
      <c r="C36" s="79"/>
      <c r="D36" s="56"/>
      <c r="E36" s="56"/>
      <c r="F36" s="56"/>
      <c r="G36" s="56"/>
      <c r="H36" s="79"/>
      <c r="I36" s="106"/>
      <c r="J36" s="138"/>
      <c r="K36" s="82"/>
      <c r="L36" s="63"/>
      <c r="M36" s="134"/>
      <c r="N36" s="56" t="s">
        <v>450</v>
      </c>
    </row>
    <row r="37" customFormat="false" ht="12.8" hidden="false" customHeight="false" outlineLevel="0" collapsed="false">
      <c r="A37" s="63"/>
      <c r="B37" s="51"/>
      <c r="C37" s="79"/>
      <c r="D37" s="56"/>
      <c r="E37" s="56"/>
      <c r="F37" s="56"/>
      <c r="G37" s="56"/>
      <c r="H37" s="79"/>
      <c r="I37" s="106"/>
      <c r="J37" s="138"/>
      <c r="K37" s="82"/>
      <c r="L37" s="63"/>
      <c r="M37" s="134"/>
      <c r="N37" s="56" t="s">
        <v>450</v>
      </c>
    </row>
    <row r="38" customFormat="false" ht="12.8" hidden="false" customHeight="false" outlineLevel="0" collapsed="false">
      <c r="A38" s="63"/>
      <c r="B38" s="51"/>
      <c r="C38" s="79"/>
      <c r="D38" s="56"/>
      <c r="E38" s="56"/>
      <c r="F38" s="56"/>
      <c r="G38" s="56"/>
      <c r="H38" s="79"/>
      <c r="I38" s="106"/>
      <c r="J38" s="138"/>
      <c r="K38" s="82"/>
      <c r="L38" s="63"/>
      <c r="M38" s="134"/>
      <c r="N38" s="56" t="s">
        <v>450</v>
      </c>
    </row>
    <row r="39" customFormat="false" ht="12.8" hidden="false" customHeight="false" outlineLevel="0" collapsed="false">
      <c r="A39" s="63"/>
      <c r="B39" s="51"/>
      <c r="C39" s="79"/>
      <c r="D39" s="56"/>
      <c r="E39" s="56"/>
      <c r="F39" s="56"/>
      <c r="G39" s="56"/>
      <c r="H39" s="79"/>
      <c r="I39" s="106"/>
      <c r="J39" s="138"/>
      <c r="K39" s="82"/>
      <c r="L39" s="63"/>
      <c r="M39" s="134"/>
      <c r="N39" s="56" t="s">
        <v>450</v>
      </c>
    </row>
    <row r="40" customFormat="false" ht="12.8" hidden="false" customHeight="false" outlineLevel="0" collapsed="false">
      <c r="B40" s="2"/>
    </row>
  </sheetData>
  <autoFilter ref="A4:N39"/>
  <dataValidations count="2">
    <dataValidation allowBlank="true" errorStyle="stop" operator="equal" showDropDown="false" showErrorMessage="true" showInputMessage="false" sqref="C5:C39" type="list">
      <formula1>Static!$W$5:$W$6</formula1>
      <formula2>0</formula2>
    </dataValidation>
    <dataValidation allowBlank="true" errorStyle="stop" operator="equal" showDropDown="false" showErrorMessage="true" showInputMessage="false" sqref="H5:H39" type="list">
      <formula1>Static!$X$5:$X$9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K7" activeCellId="0" sqref="K7"/>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8.48"/>
    <col collapsed="false" customWidth="true" hidden="false" outlineLevel="0" max="4" min="4" style="31" width="8.33"/>
    <col collapsed="false" customWidth="true" hidden="false" outlineLevel="0" max="6" min="6" style="0" width="16.36"/>
    <col collapsed="false" customWidth="true" hidden="false" outlineLevel="0" max="7" min="7" style="0" width="8.33"/>
    <col collapsed="false" customWidth="true" hidden="false" outlineLevel="0" max="8" min="8" style="31" width="11.72"/>
    <col collapsed="false" customWidth="true" hidden="false" outlineLevel="0" max="9" min="9" style="31" width="11.52"/>
    <col collapsed="false" customWidth="true" hidden="false" outlineLevel="0" max="10" min="10" style="129" width="10.05"/>
    <col collapsed="false" customWidth="true" hidden="false" outlineLevel="0" max="11" min="11" style="2" width="11.88"/>
    <col collapsed="false" customWidth="true" hidden="false" outlineLevel="0" max="12" min="12" style="2" width="16.97"/>
    <col collapsed="false" customWidth="true" hidden="false" outlineLevel="0" max="13" min="13" style="31" width="6.62"/>
    <col collapsed="false" customWidth="true" hidden="false" outlineLevel="0" max="14" min="14" style="0" width="2.54"/>
  </cols>
  <sheetData>
    <row r="1" s="38" customFormat="true" ht="81.3" hidden="false" customHeight="true" outlineLevel="1" collapsed="false">
      <c r="A1" s="36" t="s">
        <v>782</v>
      </c>
      <c r="B1" s="34" t="s">
        <v>895</v>
      </c>
      <c r="C1" s="34" t="s">
        <v>961</v>
      </c>
      <c r="D1" s="34" t="s">
        <v>852</v>
      </c>
      <c r="E1" s="35" t="s">
        <v>962</v>
      </c>
      <c r="F1" s="35" t="s">
        <v>854</v>
      </c>
      <c r="G1" s="86" t="s">
        <v>963</v>
      </c>
      <c r="H1" s="86" t="s">
        <v>964</v>
      </c>
      <c r="I1" s="86" t="s">
        <v>965</v>
      </c>
      <c r="J1" s="116" t="s">
        <v>966</v>
      </c>
      <c r="K1" s="116" t="s">
        <v>790</v>
      </c>
      <c r="L1" s="36" t="s">
        <v>870</v>
      </c>
      <c r="M1" s="34" t="s">
        <v>939</v>
      </c>
      <c r="N1" s="36" t="s">
        <v>393</v>
      </c>
      <c r="ALY1" s="0"/>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35"/>
      <c r="K2" s="116"/>
      <c r="L2" s="36"/>
      <c r="M2" s="34"/>
      <c r="N2" s="36"/>
      <c r="ALY2" s="0"/>
      <c r="ALZ2" s="0"/>
      <c r="AMA2" s="0"/>
      <c r="AMB2" s="0"/>
      <c r="AMC2" s="0"/>
      <c r="AMD2" s="0"/>
      <c r="AME2" s="0"/>
      <c r="AMF2" s="0"/>
      <c r="AMG2" s="0"/>
      <c r="AMH2" s="0"/>
      <c r="AMI2" s="0"/>
      <c r="AMJ2" s="0"/>
    </row>
    <row r="3" customFormat="false" ht="24.85" hidden="false" customHeight="false" outlineLevel="0" collapsed="false">
      <c r="A3" s="39" t="s">
        <v>394</v>
      </c>
      <c r="B3" s="41" t="s">
        <v>721</v>
      </c>
      <c r="C3" s="41" t="s">
        <v>967</v>
      </c>
      <c r="D3" s="41" t="s">
        <v>872</v>
      </c>
      <c r="E3" s="43" t="s">
        <v>424</v>
      </c>
      <c r="F3" s="43" t="s">
        <v>425</v>
      </c>
      <c r="G3" s="43" t="s">
        <v>738</v>
      </c>
      <c r="H3" s="41" t="s">
        <v>968</v>
      </c>
      <c r="I3" s="98" t="s">
        <v>942</v>
      </c>
      <c r="J3" s="136" t="s">
        <v>969</v>
      </c>
      <c r="K3" s="131" t="s">
        <v>433</v>
      </c>
      <c r="L3" s="39" t="s">
        <v>434</v>
      </c>
      <c r="M3" s="41" t="s">
        <v>886</v>
      </c>
      <c r="N3" s="43" t="s">
        <v>442</v>
      </c>
    </row>
    <row r="4" customFormat="false" ht="9.7" hidden="false" customHeight="true" outlineLevel="0" collapsed="false">
      <c r="A4" s="45" t="str">
        <f aca="false">A3</f>
        <v>A</v>
      </c>
      <c r="B4" s="46" t="str">
        <f aca="false">B3</f>
        <v>Status</v>
      </c>
      <c r="C4" s="46" t="str">
        <f aca="false">C3</f>
        <v>Client Type</v>
      </c>
      <c r="D4" s="46" t="str">
        <f aca="false">D3</f>
        <v>Alias</v>
      </c>
      <c r="E4" s="47" t="str">
        <f aca="false">E3</f>
        <v>Name</v>
      </c>
      <c r="F4" s="47" t="str">
        <f aca="false">F3</f>
        <v>Overview</v>
      </c>
      <c r="G4" s="47" t="str">
        <f aca="false">G3</f>
        <v>Link</v>
      </c>
      <c r="H4" s="46" t="str">
        <f aca="false">H3</f>
        <v>Client Category</v>
      </c>
      <c r="I4" s="46" t="str">
        <f aca="false">I3</f>
        <v>Contacts</v>
      </c>
      <c r="J4" s="132" t="str">
        <f aca="false">J3</f>
        <v>Revenue</v>
      </c>
      <c r="K4" s="137" t="str">
        <f aca="false">K3</f>
        <v>Reference</v>
      </c>
      <c r="L4" s="45" t="str">
        <f aca="false">K3</f>
        <v>Reference</v>
      </c>
      <c r="M4" s="46" t="str">
        <f aca="false">M3</f>
        <v>ID</v>
      </c>
      <c r="N4" s="47" t="str">
        <f aca="false">N3</f>
        <v>Z</v>
      </c>
    </row>
    <row r="5" customFormat="false" ht="12.8" hidden="false" customHeight="false" outlineLevel="0" collapsed="false">
      <c r="A5" s="63"/>
      <c r="B5" s="51"/>
      <c r="C5" s="79" t="s">
        <v>888</v>
      </c>
      <c r="D5" s="56"/>
      <c r="E5" s="56"/>
      <c r="F5" s="56"/>
      <c r="G5" s="56"/>
      <c r="H5" s="79"/>
      <c r="I5" s="106"/>
      <c r="J5" s="138"/>
      <c r="K5" s="82" t="s">
        <v>25</v>
      </c>
      <c r="L5" s="63" t="s">
        <v>25</v>
      </c>
      <c r="M5" s="134"/>
      <c r="N5" s="56" t="s">
        <v>450</v>
      </c>
    </row>
    <row r="6" customFormat="false" ht="12.8" hidden="false" customHeight="false" outlineLevel="0" collapsed="false">
      <c r="A6" s="63"/>
      <c r="B6" s="51"/>
      <c r="C6" s="79" t="s">
        <v>888</v>
      </c>
      <c r="D6" s="56"/>
      <c r="E6" s="56"/>
      <c r="F6" s="56"/>
      <c r="G6" s="56"/>
      <c r="H6" s="79"/>
      <c r="I6" s="106"/>
      <c r="J6" s="138"/>
      <c r="K6" s="82" t="s">
        <v>25</v>
      </c>
      <c r="L6" s="63" t="s">
        <v>25</v>
      </c>
      <c r="M6" s="134"/>
      <c r="N6" s="56" t="s">
        <v>450</v>
      </c>
    </row>
    <row r="7" customFormat="false" ht="12.8" hidden="false" customHeight="false" outlineLevel="0" collapsed="false">
      <c r="A7" s="63"/>
      <c r="B7" s="51"/>
      <c r="C7" s="79"/>
      <c r="D7" s="56"/>
      <c r="E7" s="56"/>
      <c r="F7" s="56"/>
      <c r="G7" s="56"/>
      <c r="H7" s="79"/>
      <c r="I7" s="106"/>
      <c r="J7" s="138"/>
      <c r="K7" s="82"/>
      <c r="L7" s="63"/>
      <c r="M7" s="134"/>
      <c r="N7" s="56" t="s">
        <v>450</v>
      </c>
    </row>
    <row r="8" customFormat="false" ht="12.8" hidden="false" customHeight="false" outlineLevel="0" collapsed="false">
      <c r="A8" s="63"/>
      <c r="B8" s="51"/>
      <c r="C8" s="79"/>
      <c r="D8" s="56"/>
      <c r="E8" s="56"/>
      <c r="F8" s="56"/>
      <c r="G8" s="56"/>
      <c r="H8" s="79"/>
      <c r="I8" s="106"/>
      <c r="J8" s="138"/>
      <c r="K8" s="82"/>
      <c r="L8" s="63"/>
      <c r="M8" s="134"/>
      <c r="N8" s="56" t="s">
        <v>450</v>
      </c>
    </row>
    <row r="9" customFormat="false" ht="12.8" hidden="false" customHeight="false" outlineLevel="0" collapsed="false">
      <c r="A9" s="63"/>
      <c r="B9" s="51"/>
      <c r="C9" s="79"/>
      <c r="D9" s="56"/>
      <c r="E9" s="56"/>
      <c r="F9" s="56"/>
      <c r="G9" s="56"/>
      <c r="H9" s="79"/>
      <c r="I9" s="106"/>
      <c r="J9" s="138"/>
      <c r="K9" s="82"/>
      <c r="L9" s="63"/>
      <c r="M9" s="134"/>
      <c r="N9" s="56" t="s">
        <v>450</v>
      </c>
    </row>
    <row r="10" customFormat="false" ht="12.8" hidden="false" customHeight="false" outlineLevel="0" collapsed="false">
      <c r="A10" s="63"/>
      <c r="B10" s="51"/>
      <c r="C10" s="79"/>
      <c r="D10" s="56"/>
      <c r="E10" s="56"/>
      <c r="F10" s="56"/>
      <c r="G10" s="56"/>
      <c r="H10" s="79"/>
      <c r="I10" s="106"/>
      <c r="J10" s="138"/>
      <c r="K10" s="82"/>
      <c r="L10" s="63"/>
      <c r="M10" s="134"/>
      <c r="N10" s="56" t="s">
        <v>450</v>
      </c>
    </row>
    <row r="11" customFormat="false" ht="12.8" hidden="false" customHeight="false" outlineLevel="0" collapsed="false">
      <c r="A11" s="63"/>
      <c r="B11" s="51"/>
      <c r="C11" s="79"/>
      <c r="D11" s="56"/>
      <c r="E11" s="56"/>
      <c r="F11" s="56"/>
      <c r="G11" s="56"/>
      <c r="H11" s="79"/>
      <c r="I11" s="106"/>
      <c r="J11" s="138"/>
      <c r="K11" s="82"/>
      <c r="L11" s="63"/>
      <c r="M11" s="134"/>
      <c r="N11" s="56" t="s">
        <v>450</v>
      </c>
    </row>
    <row r="12" customFormat="false" ht="12.8" hidden="false" customHeight="false" outlineLevel="0" collapsed="false">
      <c r="A12" s="63"/>
      <c r="B12" s="51"/>
      <c r="C12" s="79"/>
      <c r="D12" s="56"/>
      <c r="E12" s="56"/>
      <c r="F12" s="56"/>
      <c r="G12" s="56"/>
      <c r="H12" s="79"/>
      <c r="I12" s="106"/>
      <c r="J12" s="138"/>
      <c r="K12" s="82"/>
      <c r="L12" s="63"/>
      <c r="M12" s="134"/>
      <c r="N12" s="56" t="s">
        <v>450</v>
      </c>
    </row>
    <row r="13" customFormat="false" ht="12.8" hidden="false" customHeight="false" outlineLevel="0" collapsed="false">
      <c r="A13" s="63"/>
      <c r="B13" s="51"/>
      <c r="C13" s="79"/>
      <c r="D13" s="56"/>
      <c r="E13" s="56"/>
      <c r="F13" s="56"/>
      <c r="G13" s="56"/>
      <c r="H13" s="79"/>
      <c r="I13" s="106"/>
      <c r="J13" s="138"/>
      <c r="K13" s="82"/>
      <c r="L13" s="63"/>
      <c r="M13" s="134"/>
      <c r="N13" s="56" t="s">
        <v>450</v>
      </c>
    </row>
    <row r="14" customFormat="false" ht="12.8" hidden="false" customHeight="false" outlineLevel="0" collapsed="false">
      <c r="A14" s="63"/>
      <c r="B14" s="51"/>
      <c r="C14" s="79"/>
      <c r="D14" s="56"/>
      <c r="E14" s="56"/>
      <c r="F14" s="56"/>
      <c r="G14" s="56"/>
      <c r="H14" s="79"/>
      <c r="I14" s="106"/>
      <c r="J14" s="138"/>
      <c r="K14" s="82"/>
      <c r="L14" s="63"/>
      <c r="M14" s="134"/>
      <c r="N14" s="56" t="s">
        <v>450</v>
      </c>
    </row>
    <row r="15" customFormat="false" ht="12.8" hidden="false" customHeight="false" outlineLevel="0" collapsed="false">
      <c r="A15" s="63"/>
      <c r="B15" s="51"/>
      <c r="C15" s="79"/>
      <c r="D15" s="56"/>
      <c r="E15" s="56"/>
      <c r="F15" s="56"/>
      <c r="G15" s="56"/>
      <c r="H15" s="79"/>
      <c r="I15" s="106"/>
      <c r="J15" s="138"/>
      <c r="K15" s="82"/>
      <c r="L15" s="63"/>
      <c r="M15" s="134"/>
      <c r="N15" s="56" t="s">
        <v>450</v>
      </c>
    </row>
    <row r="16" customFormat="false" ht="12.8" hidden="false" customHeight="false" outlineLevel="0" collapsed="false">
      <c r="A16" s="63"/>
      <c r="B16" s="51"/>
      <c r="C16" s="79"/>
      <c r="D16" s="56"/>
      <c r="E16" s="56"/>
      <c r="F16" s="56"/>
      <c r="G16" s="56"/>
      <c r="H16" s="79"/>
      <c r="I16" s="106"/>
      <c r="J16" s="138"/>
      <c r="K16" s="82"/>
      <c r="L16" s="63"/>
      <c r="M16" s="134"/>
      <c r="N16" s="56" t="s">
        <v>450</v>
      </c>
    </row>
    <row r="17" customFormat="false" ht="12.8" hidden="false" customHeight="false" outlineLevel="0" collapsed="false">
      <c r="A17" s="63"/>
      <c r="B17" s="51"/>
      <c r="C17" s="79"/>
      <c r="D17" s="56"/>
      <c r="E17" s="56"/>
      <c r="F17" s="56"/>
      <c r="G17" s="56"/>
      <c r="H17" s="79"/>
      <c r="I17" s="106"/>
      <c r="J17" s="138"/>
      <c r="K17" s="82"/>
      <c r="L17" s="63"/>
      <c r="M17" s="134"/>
      <c r="N17" s="56" t="s">
        <v>450</v>
      </c>
    </row>
    <row r="18" customFormat="false" ht="12.8" hidden="false" customHeight="false" outlineLevel="0" collapsed="false">
      <c r="A18" s="63"/>
      <c r="B18" s="51"/>
      <c r="C18" s="79"/>
      <c r="D18" s="56"/>
      <c r="E18" s="56"/>
      <c r="F18" s="56"/>
      <c r="G18" s="56"/>
      <c r="H18" s="79"/>
      <c r="I18" s="106"/>
      <c r="J18" s="138"/>
      <c r="K18" s="82"/>
      <c r="L18" s="63"/>
      <c r="M18" s="134"/>
      <c r="N18" s="56" t="s">
        <v>450</v>
      </c>
    </row>
    <row r="19" customFormat="false" ht="12.8" hidden="false" customHeight="false" outlineLevel="0" collapsed="false">
      <c r="A19" s="63"/>
      <c r="B19" s="51"/>
      <c r="C19" s="79"/>
      <c r="D19" s="56"/>
      <c r="E19" s="56"/>
      <c r="F19" s="56"/>
      <c r="G19" s="56"/>
      <c r="H19" s="79"/>
      <c r="I19" s="106"/>
      <c r="J19" s="138"/>
      <c r="K19" s="82"/>
      <c r="L19" s="63"/>
      <c r="M19" s="134"/>
      <c r="N19" s="56" t="s">
        <v>450</v>
      </c>
    </row>
    <row r="20" customFormat="false" ht="12.8" hidden="false" customHeight="false" outlineLevel="0" collapsed="false">
      <c r="A20" s="63"/>
      <c r="B20" s="51"/>
      <c r="C20" s="79"/>
      <c r="D20" s="56"/>
      <c r="E20" s="56"/>
      <c r="F20" s="56"/>
      <c r="G20" s="56"/>
      <c r="H20" s="79"/>
      <c r="I20" s="106"/>
      <c r="J20" s="138"/>
      <c r="K20" s="82"/>
      <c r="L20" s="63"/>
      <c r="M20" s="134"/>
      <c r="N20" s="56" t="s">
        <v>450</v>
      </c>
    </row>
    <row r="21" customFormat="false" ht="12.8" hidden="false" customHeight="false" outlineLevel="0" collapsed="false">
      <c r="A21" s="63"/>
      <c r="B21" s="51"/>
      <c r="C21" s="79"/>
      <c r="D21" s="56"/>
      <c r="E21" s="56"/>
      <c r="F21" s="56"/>
      <c r="G21" s="56"/>
      <c r="H21" s="79"/>
      <c r="I21" s="106"/>
      <c r="J21" s="138"/>
      <c r="K21" s="82"/>
      <c r="L21" s="63"/>
      <c r="M21" s="134"/>
      <c r="N21" s="56" t="s">
        <v>450</v>
      </c>
    </row>
    <row r="22" customFormat="false" ht="12.8" hidden="false" customHeight="false" outlineLevel="0" collapsed="false">
      <c r="A22" s="63"/>
      <c r="B22" s="51"/>
      <c r="C22" s="79"/>
      <c r="D22" s="56"/>
      <c r="E22" s="56"/>
      <c r="F22" s="56"/>
      <c r="G22" s="56"/>
      <c r="H22" s="79"/>
      <c r="I22" s="106"/>
      <c r="J22" s="138"/>
      <c r="K22" s="82"/>
      <c r="L22" s="63"/>
      <c r="M22" s="134"/>
      <c r="N22" s="56" t="s">
        <v>450</v>
      </c>
    </row>
    <row r="23" customFormat="false" ht="12.8" hidden="false" customHeight="false" outlineLevel="0" collapsed="false">
      <c r="A23" s="63"/>
      <c r="B23" s="51"/>
      <c r="C23" s="79"/>
      <c r="D23" s="56"/>
      <c r="E23" s="56"/>
      <c r="F23" s="56"/>
      <c r="G23" s="56"/>
      <c r="H23" s="79"/>
      <c r="I23" s="106"/>
      <c r="J23" s="138"/>
      <c r="K23" s="82"/>
      <c r="L23" s="63"/>
      <c r="M23" s="134"/>
      <c r="N23" s="56" t="s">
        <v>450</v>
      </c>
    </row>
    <row r="24" customFormat="false" ht="12.8" hidden="false" customHeight="false" outlineLevel="0" collapsed="false">
      <c r="A24" s="63"/>
      <c r="B24" s="51"/>
      <c r="C24" s="79"/>
      <c r="D24" s="56"/>
      <c r="E24" s="56"/>
      <c r="F24" s="56"/>
      <c r="G24" s="56"/>
      <c r="H24" s="79"/>
      <c r="I24" s="106"/>
      <c r="J24" s="138"/>
      <c r="K24" s="82"/>
      <c r="L24" s="63"/>
      <c r="M24" s="134"/>
      <c r="N24" s="56" t="s">
        <v>450</v>
      </c>
    </row>
    <row r="25" customFormat="false" ht="12.8" hidden="false" customHeight="false" outlineLevel="0" collapsed="false">
      <c r="A25" s="63"/>
      <c r="B25" s="51"/>
      <c r="C25" s="79"/>
      <c r="D25" s="56"/>
      <c r="E25" s="56"/>
      <c r="F25" s="56"/>
      <c r="G25" s="56"/>
      <c r="H25" s="79"/>
      <c r="I25" s="106"/>
      <c r="J25" s="138"/>
      <c r="K25" s="82"/>
      <c r="L25" s="63"/>
      <c r="M25" s="134"/>
      <c r="N25" s="56" t="s">
        <v>450</v>
      </c>
    </row>
    <row r="26" customFormat="false" ht="12.8" hidden="false" customHeight="false" outlineLevel="0" collapsed="false">
      <c r="A26" s="63"/>
      <c r="B26" s="51"/>
      <c r="C26" s="79"/>
      <c r="D26" s="56"/>
      <c r="E26" s="56"/>
      <c r="F26" s="56"/>
      <c r="G26" s="56"/>
      <c r="H26" s="79"/>
      <c r="I26" s="106"/>
      <c r="J26" s="138"/>
      <c r="K26" s="82"/>
      <c r="L26" s="63"/>
      <c r="M26" s="134"/>
      <c r="N26" s="56" t="s">
        <v>450</v>
      </c>
    </row>
    <row r="27" customFormat="false" ht="12.8" hidden="false" customHeight="false" outlineLevel="0" collapsed="false">
      <c r="A27" s="63"/>
      <c r="B27" s="51"/>
      <c r="C27" s="79"/>
      <c r="D27" s="56"/>
      <c r="E27" s="56"/>
      <c r="F27" s="56"/>
      <c r="G27" s="56"/>
      <c r="H27" s="79"/>
      <c r="I27" s="106"/>
      <c r="J27" s="138"/>
      <c r="K27" s="82"/>
      <c r="L27" s="63"/>
      <c r="M27" s="134"/>
      <c r="N27" s="56" t="s">
        <v>450</v>
      </c>
    </row>
    <row r="28" customFormat="false" ht="12.8" hidden="false" customHeight="false" outlineLevel="0" collapsed="false">
      <c r="A28" s="63"/>
      <c r="B28" s="51"/>
      <c r="C28" s="79"/>
      <c r="D28" s="56"/>
      <c r="E28" s="56"/>
      <c r="F28" s="56"/>
      <c r="G28" s="56"/>
      <c r="H28" s="79"/>
      <c r="I28" s="106"/>
      <c r="J28" s="138"/>
      <c r="K28" s="82"/>
      <c r="L28" s="63"/>
      <c r="M28" s="134"/>
      <c r="N28" s="56" t="s">
        <v>450</v>
      </c>
    </row>
    <row r="29" customFormat="false" ht="12.8" hidden="false" customHeight="false" outlineLevel="0" collapsed="false">
      <c r="A29" s="63"/>
      <c r="B29" s="51"/>
      <c r="C29" s="79"/>
      <c r="D29" s="56"/>
      <c r="E29" s="56"/>
      <c r="F29" s="56"/>
      <c r="G29" s="56"/>
      <c r="H29" s="79"/>
      <c r="I29" s="106"/>
      <c r="J29" s="138"/>
      <c r="K29" s="82"/>
      <c r="L29" s="63"/>
      <c r="M29" s="134"/>
      <c r="N29" s="56" t="s">
        <v>450</v>
      </c>
    </row>
    <row r="30" customFormat="false" ht="12.8" hidden="false" customHeight="false" outlineLevel="0" collapsed="false">
      <c r="A30" s="63"/>
      <c r="B30" s="51"/>
      <c r="C30" s="79"/>
      <c r="D30" s="56"/>
      <c r="E30" s="56"/>
      <c r="F30" s="56"/>
      <c r="G30" s="56"/>
      <c r="H30" s="79"/>
      <c r="I30" s="106"/>
      <c r="J30" s="138"/>
      <c r="K30" s="82"/>
      <c r="L30" s="63"/>
      <c r="M30" s="134"/>
      <c r="N30" s="56" t="s">
        <v>450</v>
      </c>
    </row>
    <row r="31" customFormat="false" ht="12.8" hidden="false" customHeight="false" outlineLevel="0" collapsed="false">
      <c r="A31" s="63"/>
      <c r="B31" s="51"/>
      <c r="C31" s="79"/>
      <c r="D31" s="56"/>
      <c r="E31" s="56"/>
      <c r="F31" s="56"/>
      <c r="G31" s="56"/>
      <c r="H31" s="79"/>
      <c r="I31" s="106"/>
      <c r="J31" s="138"/>
      <c r="K31" s="82"/>
      <c r="L31" s="63"/>
      <c r="M31" s="134"/>
      <c r="N31" s="56" t="s">
        <v>450</v>
      </c>
    </row>
    <row r="32" customFormat="false" ht="12.8" hidden="false" customHeight="false" outlineLevel="0" collapsed="false">
      <c r="A32" s="63"/>
      <c r="B32" s="51"/>
      <c r="C32" s="79"/>
      <c r="D32" s="56"/>
      <c r="E32" s="56"/>
      <c r="F32" s="56"/>
      <c r="G32" s="56"/>
      <c r="H32" s="79"/>
      <c r="I32" s="106"/>
      <c r="J32" s="138"/>
      <c r="K32" s="82"/>
      <c r="L32" s="63"/>
      <c r="M32" s="134"/>
      <c r="N32" s="56" t="s">
        <v>450</v>
      </c>
    </row>
    <row r="33" customFormat="false" ht="12.8" hidden="false" customHeight="false" outlineLevel="0" collapsed="false">
      <c r="A33" s="63"/>
      <c r="B33" s="51"/>
      <c r="C33" s="79"/>
      <c r="D33" s="56"/>
      <c r="E33" s="56"/>
      <c r="F33" s="56"/>
      <c r="G33" s="56"/>
      <c r="H33" s="79"/>
      <c r="I33" s="106"/>
      <c r="J33" s="138"/>
      <c r="K33" s="82"/>
      <c r="L33" s="63"/>
      <c r="M33" s="134"/>
      <c r="N33" s="56" t="s">
        <v>450</v>
      </c>
    </row>
    <row r="34" customFormat="false" ht="12.8" hidden="false" customHeight="false" outlineLevel="0" collapsed="false">
      <c r="A34" s="63"/>
      <c r="B34" s="51"/>
      <c r="C34" s="79"/>
      <c r="D34" s="56"/>
      <c r="E34" s="56"/>
      <c r="F34" s="56"/>
      <c r="G34" s="56"/>
      <c r="H34" s="79"/>
      <c r="I34" s="106"/>
      <c r="J34" s="138"/>
      <c r="K34" s="82"/>
      <c r="L34" s="63"/>
      <c r="M34" s="134"/>
      <c r="N34" s="56" t="s">
        <v>450</v>
      </c>
    </row>
    <row r="35" customFormat="false" ht="12.8" hidden="false" customHeight="false" outlineLevel="0" collapsed="false">
      <c r="A35" s="63"/>
      <c r="B35" s="51"/>
      <c r="C35" s="79"/>
      <c r="D35" s="56"/>
      <c r="E35" s="56"/>
      <c r="F35" s="56"/>
      <c r="G35" s="56"/>
      <c r="H35" s="79"/>
      <c r="I35" s="106"/>
      <c r="J35" s="138"/>
      <c r="K35" s="82"/>
      <c r="L35" s="63"/>
      <c r="M35" s="134"/>
      <c r="N35" s="56" t="s">
        <v>450</v>
      </c>
    </row>
    <row r="36" customFormat="false" ht="12.8" hidden="false" customHeight="false" outlineLevel="0" collapsed="false">
      <c r="A36" s="63"/>
      <c r="B36" s="51"/>
      <c r="C36" s="79"/>
      <c r="D36" s="56"/>
      <c r="E36" s="56"/>
      <c r="F36" s="56"/>
      <c r="G36" s="56"/>
      <c r="H36" s="79"/>
      <c r="I36" s="106"/>
      <c r="J36" s="138"/>
      <c r="K36" s="82"/>
      <c r="L36" s="63"/>
      <c r="M36" s="134"/>
      <c r="N36" s="56" t="s">
        <v>450</v>
      </c>
    </row>
    <row r="37" customFormat="false" ht="12.8" hidden="false" customHeight="false" outlineLevel="0" collapsed="false">
      <c r="A37" s="63"/>
      <c r="B37" s="51"/>
      <c r="C37" s="79"/>
      <c r="D37" s="56"/>
      <c r="E37" s="56"/>
      <c r="F37" s="56"/>
      <c r="G37" s="56"/>
      <c r="H37" s="79"/>
      <c r="I37" s="106"/>
      <c r="J37" s="138"/>
      <c r="K37" s="82"/>
      <c r="L37" s="63"/>
      <c r="M37" s="134"/>
      <c r="N37" s="56" t="s">
        <v>450</v>
      </c>
    </row>
    <row r="38" customFormat="false" ht="12.8" hidden="false" customHeight="false" outlineLevel="0" collapsed="false">
      <c r="A38" s="63"/>
      <c r="B38" s="51"/>
      <c r="C38" s="79"/>
      <c r="D38" s="56"/>
      <c r="E38" s="56"/>
      <c r="F38" s="56"/>
      <c r="G38" s="56"/>
      <c r="H38" s="79"/>
      <c r="I38" s="106"/>
      <c r="J38" s="138"/>
      <c r="K38" s="82"/>
      <c r="L38" s="63"/>
      <c r="M38" s="134"/>
      <c r="N38" s="56" t="s">
        <v>450</v>
      </c>
    </row>
    <row r="39" customFormat="false" ht="12.8" hidden="false" customHeight="false" outlineLevel="0" collapsed="false">
      <c r="A39" s="63"/>
      <c r="B39" s="51"/>
      <c r="C39" s="79"/>
      <c r="D39" s="56"/>
      <c r="E39" s="56"/>
      <c r="F39" s="56"/>
      <c r="G39" s="56"/>
      <c r="H39" s="79"/>
      <c r="I39" s="106"/>
      <c r="J39" s="138"/>
      <c r="K39" s="82"/>
      <c r="L39" s="63"/>
      <c r="M39" s="134"/>
      <c r="N39" s="56" t="s">
        <v>450</v>
      </c>
    </row>
    <row r="40" customFormat="false" ht="12.8" hidden="false" customHeight="false" outlineLevel="0" collapsed="false">
      <c r="B40" s="2"/>
    </row>
  </sheetData>
  <autoFilter ref="A4:N39"/>
  <dataValidations count="2">
    <dataValidation allowBlank="true" errorStyle="stop" operator="equal" showDropDown="false" showErrorMessage="true" showInputMessage="false" sqref="C5:C39" type="list">
      <formula1>Static!$Y$5:$Y$6</formula1>
      <formula2>0</formula2>
    </dataValidation>
    <dataValidation allowBlank="true" errorStyle="stop" operator="equal" showDropDown="false" showErrorMessage="true" showInputMessage="false" sqref="H5:H39" type="list">
      <formula1>Static!$Z$5:$Z$9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H9" activeCellId="0" sqref="H9"/>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31" width="6.54"/>
    <col collapsed="false" customWidth="true" hidden="false" outlineLevel="0" max="3" min="3" style="31" width="14.38"/>
    <col collapsed="false" customWidth="true" hidden="false" outlineLevel="0" max="4" min="4" style="31" width="12.64"/>
    <col collapsed="false" customWidth="true" hidden="false" outlineLevel="0" max="6" min="6" style="0" width="13.89"/>
    <col collapsed="false" customWidth="true" hidden="false" outlineLevel="0" max="7" min="7" style="0" width="9.72"/>
    <col collapsed="false" customWidth="true" hidden="false" outlineLevel="0" max="8" min="8" style="31" width="14.59"/>
    <col collapsed="false" customWidth="true" hidden="false" outlineLevel="0" max="9" min="9" style="31" width="10.8"/>
    <col collapsed="false" customWidth="true" hidden="false" outlineLevel="0" max="10" min="10" style="2" width="8.64"/>
    <col collapsed="false" customWidth="true" hidden="false" outlineLevel="0" max="11" min="11" style="2" width="13.4"/>
    <col collapsed="false" customWidth="true" hidden="false" outlineLevel="0" max="12" min="12" style="2" width="13.58"/>
    <col collapsed="false" customWidth="true" hidden="false" outlineLevel="0" max="13" min="13" style="31" width="8.03"/>
    <col collapsed="false" customWidth="true" hidden="false" outlineLevel="0" max="14" min="14" style="0" width="2.54"/>
    <col collapsed="false" customWidth="true" hidden="false" outlineLevel="0" max="1024" min="1024" style="0" width="11.52"/>
  </cols>
  <sheetData>
    <row r="1" s="38" customFormat="true" ht="81.3" hidden="false" customHeight="true" outlineLevel="1" collapsed="false">
      <c r="A1" s="36" t="s">
        <v>782</v>
      </c>
      <c r="B1" s="34" t="s">
        <v>895</v>
      </c>
      <c r="C1" s="34" t="s">
        <v>970</v>
      </c>
      <c r="D1" s="34" t="s">
        <v>852</v>
      </c>
      <c r="E1" s="35" t="s">
        <v>953</v>
      </c>
      <c r="F1" s="35" t="s">
        <v>854</v>
      </c>
      <c r="G1" s="86" t="s">
        <v>971</v>
      </c>
      <c r="H1" s="86" t="s">
        <v>955</v>
      </c>
      <c r="I1" s="86" t="s">
        <v>972</v>
      </c>
      <c r="J1" s="116" t="s">
        <v>973</v>
      </c>
      <c r="K1" s="116" t="s">
        <v>790</v>
      </c>
      <c r="L1" s="36" t="s">
        <v>870</v>
      </c>
      <c r="M1" s="34" t="s">
        <v>939</v>
      </c>
      <c r="N1" s="36" t="s">
        <v>393</v>
      </c>
      <c r="ALY1" s="0"/>
      <c r="ALZ1" s="0"/>
      <c r="AMA1" s="0"/>
      <c r="AMB1" s="0"/>
      <c r="AMC1" s="0"/>
      <c r="AMD1" s="0"/>
      <c r="AME1" s="0"/>
      <c r="AMF1" s="0"/>
      <c r="AMG1" s="0"/>
      <c r="AMH1" s="0"/>
      <c r="AMI1" s="0"/>
      <c r="AMJ1" s="0"/>
    </row>
    <row r="2" s="38" customFormat="true" ht="12.8" hidden="false" customHeight="false" outlineLevel="1" collapsed="false">
      <c r="A2" s="36"/>
      <c r="B2" s="34"/>
      <c r="C2" s="34"/>
      <c r="D2" s="34"/>
      <c r="E2" s="35"/>
      <c r="F2" s="35"/>
      <c r="G2" s="86"/>
      <c r="H2" s="86"/>
      <c r="I2" s="86"/>
      <c r="J2" s="116"/>
      <c r="K2" s="116"/>
      <c r="L2" s="36"/>
      <c r="M2" s="34"/>
      <c r="N2" s="36"/>
      <c r="ALY2" s="0"/>
      <c r="ALZ2" s="0"/>
      <c r="AMA2" s="0"/>
      <c r="AMB2" s="0"/>
      <c r="AMC2" s="0"/>
      <c r="AMD2" s="0"/>
      <c r="AME2" s="0"/>
      <c r="AMF2" s="0"/>
      <c r="AMG2" s="0"/>
      <c r="AMH2" s="0"/>
      <c r="AMI2" s="0"/>
      <c r="AMJ2" s="0"/>
    </row>
    <row r="3" customFormat="false" ht="23.85" hidden="false" customHeight="false" outlineLevel="0" collapsed="false">
      <c r="A3" s="39" t="s">
        <v>394</v>
      </c>
      <c r="B3" s="41" t="s">
        <v>721</v>
      </c>
      <c r="C3" s="41" t="s">
        <v>974</v>
      </c>
      <c r="D3" s="41" t="s">
        <v>872</v>
      </c>
      <c r="E3" s="43" t="s">
        <v>424</v>
      </c>
      <c r="F3" s="43" t="s">
        <v>425</v>
      </c>
      <c r="G3" s="43" t="s">
        <v>738</v>
      </c>
      <c r="H3" s="41" t="s">
        <v>975</v>
      </c>
      <c r="I3" s="98" t="s">
        <v>942</v>
      </c>
      <c r="J3" s="131" t="s">
        <v>905</v>
      </c>
      <c r="K3" s="131" t="s">
        <v>433</v>
      </c>
      <c r="L3" s="39" t="s">
        <v>434</v>
      </c>
      <c r="M3" s="41" t="s">
        <v>886</v>
      </c>
      <c r="N3" s="43" t="s">
        <v>442</v>
      </c>
    </row>
    <row r="4" customFormat="false" ht="9.7" hidden="false" customHeight="true" outlineLevel="0" collapsed="false">
      <c r="A4" s="45" t="str">
        <f aca="false">A3</f>
        <v>A</v>
      </c>
      <c r="B4" s="46" t="str">
        <f aca="false">B3</f>
        <v>Status</v>
      </c>
      <c r="C4" s="46" t="str">
        <f aca="false">C3</f>
        <v>Environment Type</v>
      </c>
      <c r="D4" s="46" t="str">
        <f aca="false">D3</f>
        <v>Alias</v>
      </c>
      <c r="E4" s="47" t="str">
        <f aca="false">E3</f>
        <v>Name</v>
      </c>
      <c r="F4" s="47" t="str">
        <f aca="false">F3</f>
        <v>Overview</v>
      </c>
      <c r="G4" s="47" t="str">
        <f aca="false">G3</f>
        <v>Link</v>
      </c>
      <c r="H4" s="46" t="str">
        <f aca="false">H3</f>
        <v>Environment Category</v>
      </c>
      <c r="I4" s="46" t="str">
        <f aca="false">I3</f>
        <v>Contacts</v>
      </c>
      <c r="J4" s="45" t="str">
        <f aca="false">J3</f>
        <v>Output</v>
      </c>
      <c r="K4" s="137" t="str">
        <f aca="false">K3</f>
        <v>Reference</v>
      </c>
      <c r="L4" s="45" t="str">
        <f aca="false">K3</f>
        <v>Reference</v>
      </c>
      <c r="M4" s="46" t="str">
        <f aca="false">M3</f>
        <v>ID</v>
      </c>
      <c r="N4" s="47" t="str">
        <f aca="false">N3</f>
        <v>Z</v>
      </c>
    </row>
    <row r="5" customFormat="false" ht="12.8" hidden="false" customHeight="false" outlineLevel="0" collapsed="false">
      <c r="A5" s="63"/>
      <c r="B5" s="51"/>
      <c r="C5" s="79"/>
      <c r="D5" s="56"/>
      <c r="E5" s="56"/>
      <c r="F5" s="56"/>
      <c r="G5" s="56"/>
      <c r="H5" s="79" t="s">
        <v>976</v>
      </c>
      <c r="I5" s="106"/>
      <c r="J5" s="82"/>
      <c r="K5" s="82" t="s">
        <v>25</v>
      </c>
      <c r="L5" s="63" t="s">
        <v>25</v>
      </c>
      <c r="M5" s="134"/>
      <c r="N5" s="56" t="s">
        <v>450</v>
      </c>
    </row>
    <row r="6" customFormat="false" ht="12.8" hidden="false" customHeight="false" outlineLevel="0" collapsed="false">
      <c r="A6" s="63"/>
      <c r="B6" s="51"/>
      <c r="C6" s="79"/>
      <c r="D6" s="56"/>
      <c r="E6" s="56"/>
      <c r="F6" s="56"/>
      <c r="G6" s="56"/>
      <c r="H6" s="79"/>
      <c r="I6" s="106"/>
      <c r="J6" s="82"/>
      <c r="K6" s="82" t="s">
        <v>25</v>
      </c>
      <c r="L6" s="63" t="s">
        <v>25</v>
      </c>
      <c r="M6" s="134"/>
      <c r="N6" s="56" t="s">
        <v>450</v>
      </c>
    </row>
    <row r="7" customFormat="false" ht="12.8" hidden="false" customHeight="false" outlineLevel="0" collapsed="false">
      <c r="A7" s="63"/>
      <c r="B7" s="51"/>
      <c r="C7" s="79"/>
      <c r="D7" s="56"/>
      <c r="E7" s="56"/>
      <c r="F7" s="56"/>
      <c r="G7" s="56"/>
      <c r="H7" s="79"/>
      <c r="I7" s="106"/>
      <c r="J7" s="82"/>
      <c r="K7" s="82"/>
      <c r="L7" s="63"/>
      <c r="M7" s="134"/>
      <c r="N7" s="56" t="s">
        <v>450</v>
      </c>
    </row>
    <row r="8" customFormat="false" ht="12.8" hidden="false" customHeight="false" outlineLevel="0" collapsed="false">
      <c r="A8" s="63"/>
      <c r="B8" s="51"/>
      <c r="C8" s="79"/>
      <c r="D8" s="56"/>
      <c r="E8" s="56"/>
      <c r="F8" s="56"/>
      <c r="G8" s="56"/>
      <c r="H8" s="79"/>
      <c r="I8" s="106"/>
      <c r="J8" s="82"/>
      <c r="K8" s="82"/>
      <c r="L8" s="63"/>
      <c r="M8" s="134"/>
      <c r="N8" s="56" t="s">
        <v>450</v>
      </c>
    </row>
    <row r="9" customFormat="false" ht="12.8" hidden="false" customHeight="false" outlineLevel="0" collapsed="false">
      <c r="A9" s="63"/>
      <c r="B9" s="51"/>
      <c r="C9" s="79"/>
      <c r="D9" s="56"/>
      <c r="E9" s="56"/>
      <c r="F9" s="56"/>
      <c r="G9" s="56"/>
      <c r="H9" s="79"/>
      <c r="I9" s="106"/>
      <c r="J9" s="82"/>
      <c r="K9" s="82"/>
      <c r="L9" s="63"/>
      <c r="M9" s="134"/>
      <c r="N9" s="56" t="s">
        <v>450</v>
      </c>
    </row>
    <row r="10" customFormat="false" ht="12.8" hidden="false" customHeight="false" outlineLevel="0" collapsed="false">
      <c r="A10" s="63"/>
      <c r="B10" s="51"/>
      <c r="C10" s="79"/>
      <c r="D10" s="56"/>
      <c r="E10" s="56"/>
      <c r="F10" s="56"/>
      <c r="G10" s="56"/>
      <c r="H10" s="79"/>
      <c r="I10" s="106"/>
      <c r="J10" s="82"/>
      <c r="K10" s="82"/>
      <c r="L10" s="63"/>
      <c r="M10" s="134"/>
      <c r="N10" s="56" t="s">
        <v>450</v>
      </c>
    </row>
    <row r="11" customFormat="false" ht="12.8" hidden="false" customHeight="false" outlineLevel="0" collapsed="false">
      <c r="A11" s="63"/>
      <c r="B11" s="51"/>
      <c r="C11" s="79"/>
      <c r="D11" s="56"/>
      <c r="E11" s="56"/>
      <c r="F11" s="56"/>
      <c r="G11" s="56"/>
      <c r="H11" s="79"/>
      <c r="I11" s="106"/>
      <c r="J11" s="82"/>
      <c r="K11" s="82"/>
      <c r="L11" s="63"/>
      <c r="M11" s="134"/>
      <c r="N11" s="56" t="s">
        <v>450</v>
      </c>
    </row>
    <row r="12" customFormat="false" ht="12.8" hidden="false" customHeight="false" outlineLevel="0" collapsed="false">
      <c r="A12" s="63"/>
      <c r="B12" s="51"/>
      <c r="C12" s="79"/>
      <c r="D12" s="56"/>
      <c r="E12" s="56"/>
      <c r="F12" s="56"/>
      <c r="G12" s="56"/>
      <c r="H12" s="79"/>
      <c r="I12" s="106"/>
      <c r="J12" s="82"/>
      <c r="K12" s="82"/>
      <c r="L12" s="63"/>
      <c r="M12" s="134"/>
      <c r="N12" s="56" t="s">
        <v>450</v>
      </c>
    </row>
    <row r="13" customFormat="false" ht="12.8" hidden="false" customHeight="false" outlineLevel="0" collapsed="false">
      <c r="A13" s="63"/>
      <c r="B13" s="51"/>
      <c r="C13" s="79"/>
      <c r="D13" s="56"/>
      <c r="E13" s="56"/>
      <c r="F13" s="56"/>
      <c r="G13" s="56"/>
      <c r="H13" s="79"/>
      <c r="I13" s="106"/>
      <c r="J13" s="82"/>
      <c r="K13" s="82"/>
      <c r="L13" s="63"/>
      <c r="M13" s="134"/>
      <c r="N13" s="56" t="s">
        <v>450</v>
      </c>
    </row>
    <row r="14" customFormat="false" ht="12.8" hidden="false" customHeight="false" outlineLevel="0" collapsed="false">
      <c r="A14" s="63"/>
      <c r="B14" s="51"/>
      <c r="C14" s="79"/>
      <c r="D14" s="56"/>
      <c r="E14" s="56"/>
      <c r="F14" s="56"/>
      <c r="G14" s="56"/>
      <c r="H14" s="79"/>
      <c r="I14" s="106"/>
      <c r="J14" s="82"/>
      <c r="K14" s="82"/>
      <c r="L14" s="63"/>
      <c r="M14" s="134"/>
      <c r="N14" s="56" t="s">
        <v>450</v>
      </c>
    </row>
    <row r="15" customFormat="false" ht="12.8" hidden="false" customHeight="false" outlineLevel="0" collapsed="false">
      <c r="A15" s="63"/>
      <c r="B15" s="51"/>
      <c r="C15" s="79"/>
      <c r="D15" s="56"/>
      <c r="E15" s="56"/>
      <c r="F15" s="56"/>
      <c r="G15" s="56"/>
      <c r="H15" s="79"/>
      <c r="I15" s="106"/>
      <c r="J15" s="82"/>
      <c r="K15" s="82"/>
      <c r="L15" s="63"/>
      <c r="M15" s="134"/>
      <c r="N15" s="56" t="s">
        <v>450</v>
      </c>
    </row>
    <row r="16" customFormat="false" ht="12.8" hidden="false" customHeight="false" outlineLevel="0" collapsed="false">
      <c r="A16" s="63"/>
      <c r="B16" s="51"/>
      <c r="C16" s="79"/>
      <c r="D16" s="56"/>
      <c r="E16" s="56"/>
      <c r="F16" s="56"/>
      <c r="G16" s="56"/>
      <c r="H16" s="79"/>
      <c r="I16" s="106"/>
      <c r="J16" s="82"/>
      <c r="K16" s="82"/>
      <c r="L16" s="63"/>
      <c r="M16" s="134"/>
      <c r="N16" s="56" t="s">
        <v>450</v>
      </c>
    </row>
    <row r="17" customFormat="false" ht="12.8" hidden="false" customHeight="false" outlineLevel="0" collapsed="false">
      <c r="A17" s="63"/>
      <c r="B17" s="51"/>
      <c r="C17" s="79"/>
      <c r="D17" s="56"/>
      <c r="E17" s="56"/>
      <c r="F17" s="56"/>
      <c r="G17" s="56"/>
      <c r="H17" s="79"/>
      <c r="I17" s="106"/>
      <c r="J17" s="82"/>
      <c r="K17" s="82"/>
      <c r="L17" s="63"/>
      <c r="M17" s="134"/>
      <c r="N17" s="56" t="s">
        <v>450</v>
      </c>
    </row>
    <row r="18" customFormat="false" ht="12.8" hidden="false" customHeight="false" outlineLevel="0" collapsed="false">
      <c r="A18" s="63"/>
      <c r="B18" s="51"/>
      <c r="C18" s="79"/>
      <c r="D18" s="56"/>
      <c r="E18" s="56"/>
      <c r="F18" s="56"/>
      <c r="G18" s="56"/>
      <c r="H18" s="79"/>
      <c r="I18" s="106"/>
      <c r="J18" s="82"/>
      <c r="K18" s="82"/>
      <c r="L18" s="63"/>
      <c r="M18" s="134"/>
      <c r="N18" s="56" t="s">
        <v>450</v>
      </c>
    </row>
    <row r="19" customFormat="false" ht="12.8" hidden="false" customHeight="false" outlineLevel="0" collapsed="false">
      <c r="A19" s="63"/>
      <c r="B19" s="51"/>
      <c r="C19" s="79"/>
      <c r="D19" s="56"/>
      <c r="E19" s="56"/>
      <c r="F19" s="56"/>
      <c r="G19" s="56"/>
      <c r="H19" s="79"/>
      <c r="I19" s="106"/>
      <c r="J19" s="82"/>
      <c r="K19" s="82"/>
      <c r="L19" s="63"/>
      <c r="M19" s="134"/>
      <c r="N19" s="56" t="s">
        <v>450</v>
      </c>
    </row>
    <row r="20" customFormat="false" ht="12.8" hidden="false" customHeight="false" outlineLevel="0" collapsed="false">
      <c r="A20" s="63"/>
      <c r="B20" s="51"/>
      <c r="C20" s="79"/>
      <c r="D20" s="56"/>
      <c r="E20" s="56"/>
      <c r="F20" s="56"/>
      <c r="G20" s="56"/>
      <c r="H20" s="79"/>
      <c r="I20" s="106"/>
      <c r="J20" s="82"/>
      <c r="K20" s="82"/>
      <c r="L20" s="63"/>
      <c r="M20" s="134"/>
      <c r="N20" s="56" t="s">
        <v>450</v>
      </c>
    </row>
    <row r="21" customFormat="false" ht="12.8" hidden="false" customHeight="false" outlineLevel="0" collapsed="false">
      <c r="A21" s="63"/>
      <c r="B21" s="51"/>
      <c r="C21" s="79"/>
      <c r="D21" s="56"/>
      <c r="E21" s="56"/>
      <c r="F21" s="56"/>
      <c r="G21" s="56"/>
      <c r="H21" s="79"/>
      <c r="I21" s="106"/>
      <c r="J21" s="82"/>
      <c r="K21" s="82"/>
      <c r="L21" s="63"/>
      <c r="M21" s="134"/>
      <c r="N21" s="56" t="s">
        <v>450</v>
      </c>
    </row>
    <row r="22" customFormat="false" ht="12.8" hidden="false" customHeight="false" outlineLevel="0" collapsed="false">
      <c r="A22" s="63"/>
      <c r="B22" s="51"/>
      <c r="C22" s="79"/>
      <c r="D22" s="56"/>
      <c r="E22" s="56"/>
      <c r="F22" s="56"/>
      <c r="G22" s="56"/>
      <c r="H22" s="79"/>
      <c r="I22" s="106"/>
      <c r="J22" s="82"/>
      <c r="K22" s="82"/>
      <c r="L22" s="63"/>
      <c r="M22" s="134"/>
      <c r="N22" s="56" t="s">
        <v>450</v>
      </c>
    </row>
    <row r="23" customFormat="false" ht="12.8" hidden="false" customHeight="false" outlineLevel="0" collapsed="false">
      <c r="A23" s="63"/>
      <c r="B23" s="51"/>
      <c r="C23" s="79"/>
      <c r="D23" s="56"/>
      <c r="E23" s="56"/>
      <c r="F23" s="56"/>
      <c r="G23" s="56"/>
      <c r="H23" s="79"/>
      <c r="I23" s="106"/>
      <c r="J23" s="82"/>
      <c r="K23" s="82"/>
      <c r="L23" s="63"/>
      <c r="M23" s="134"/>
      <c r="N23" s="56" t="s">
        <v>450</v>
      </c>
    </row>
    <row r="24" customFormat="false" ht="12.8" hidden="false" customHeight="false" outlineLevel="0" collapsed="false">
      <c r="A24" s="63"/>
      <c r="B24" s="51"/>
      <c r="C24" s="79"/>
      <c r="D24" s="56"/>
      <c r="E24" s="56"/>
      <c r="F24" s="56"/>
      <c r="G24" s="56"/>
      <c r="H24" s="79"/>
      <c r="I24" s="106"/>
      <c r="J24" s="82"/>
      <c r="K24" s="82"/>
      <c r="L24" s="63"/>
      <c r="M24" s="134"/>
      <c r="N24" s="56" t="s">
        <v>450</v>
      </c>
    </row>
    <row r="25" customFormat="false" ht="12.8" hidden="false" customHeight="false" outlineLevel="0" collapsed="false">
      <c r="A25" s="63"/>
      <c r="B25" s="51"/>
      <c r="C25" s="79"/>
      <c r="D25" s="56"/>
      <c r="E25" s="56"/>
      <c r="F25" s="56"/>
      <c r="G25" s="56"/>
      <c r="H25" s="79"/>
      <c r="I25" s="106"/>
      <c r="J25" s="82"/>
      <c r="K25" s="82"/>
      <c r="L25" s="63"/>
      <c r="M25" s="134"/>
      <c r="N25" s="56" t="s">
        <v>450</v>
      </c>
    </row>
    <row r="26" customFormat="false" ht="12.8" hidden="false" customHeight="false" outlineLevel="0" collapsed="false">
      <c r="A26" s="63"/>
      <c r="B26" s="51"/>
      <c r="C26" s="79"/>
      <c r="D26" s="56"/>
      <c r="E26" s="56"/>
      <c r="F26" s="56"/>
      <c r="G26" s="56"/>
      <c r="H26" s="79"/>
      <c r="I26" s="106"/>
      <c r="J26" s="82"/>
      <c r="K26" s="82"/>
      <c r="L26" s="63"/>
      <c r="M26" s="134"/>
      <c r="N26" s="56" t="s">
        <v>450</v>
      </c>
    </row>
    <row r="27" customFormat="false" ht="12.8" hidden="false" customHeight="false" outlineLevel="0" collapsed="false">
      <c r="A27" s="63"/>
      <c r="B27" s="51"/>
      <c r="C27" s="79"/>
      <c r="D27" s="56"/>
      <c r="E27" s="56"/>
      <c r="F27" s="56"/>
      <c r="G27" s="56"/>
      <c r="H27" s="79"/>
      <c r="I27" s="106"/>
      <c r="J27" s="82"/>
      <c r="K27" s="82"/>
      <c r="L27" s="63"/>
      <c r="M27" s="134"/>
      <c r="N27" s="56" t="s">
        <v>450</v>
      </c>
    </row>
    <row r="28" customFormat="false" ht="12.8" hidden="false" customHeight="false" outlineLevel="0" collapsed="false">
      <c r="A28" s="63"/>
      <c r="B28" s="51"/>
      <c r="C28" s="79"/>
      <c r="D28" s="56"/>
      <c r="E28" s="56"/>
      <c r="F28" s="56"/>
      <c r="G28" s="56"/>
      <c r="H28" s="79"/>
      <c r="I28" s="106"/>
      <c r="J28" s="82"/>
      <c r="K28" s="82"/>
      <c r="L28" s="63"/>
      <c r="M28" s="134"/>
      <c r="N28" s="56" t="s">
        <v>450</v>
      </c>
    </row>
    <row r="29" customFormat="false" ht="12.8" hidden="false" customHeight="false" outlineLevel="0" collapsed="false">
      <c r="A29" s="63"/>
      <c r="B29" s="51"/>
      <c r="C29" s="79"/>
      <c r="D29" s="56"/>
      <c r="E29" s="56"/>
      <c r="F29" s="56"/>
      <c r="G29" s="56"/>
      <c r="H29" s="79"/>
      <c r="I29" s="106"/>
      <c r="J29" s="82"/>
      <c r="K29" s="82"/>
      <c r="L29" s="63"/>
      <c r="M29" s="134"/>
      <c r="N29" s="56" t="s">
        <v>450</v>
      </c>
    </row>
    <row r="30" customFormat="false" ht="12.8" hidden="false" customHeight="false" outlineLevel="0" collapsed="false">
      <c r="A30" s="63"/>
      <c r="B30" s="51"/>
      <c r="C30" s="79"/>
      <c r="D30" s="56"/>
      <c r="E30" s="56"/>
      <c r="F30" s="56"/>
      <c r="G30" s="56"/>
      <c r="H30" s="79"/>
      <c r="I30" s="106"/>
      <c r="J30" s="82"/>
      <c r="K30" s="82"/>
      <c r="L30" s="63"/>
      <c r="M30" s="134"/>
      <c r="N30" s="56" t="s">
        <v>450</v>
      </c>
    </row>
    <row r="31" customFormat="false" ht="12.8" hidden="false" customHeight="false" outlineLevel="0" collapsed="false">
      <c r="A31" s="63"/>
      <c r="B31" s="51"/>
      <c r="C31" s="79"/>
      <c r="D31" s="56"/>
      <c r="E31" s="56"/>
      <c r="F31" s="56"/>
      <c r="G31" s="56"/>
      <c r="H31" s="79"/>
      <c r="I31" s="106"/>
      <c r="J31" s="82"/>
      <c r="K31" s="82"/>
      <c r="L31" s="63"/>
      <c r="M31" s="134"/>
      <c r="N31" s="56" t="s">
        <v>450</v>
      </c>
    </row>
    <row r="32" customFormat="false" ht="12.8" hidden="false" customHeight="false" outlineLevel="0" collapsed="false">
      <c r="A32" s="63"/>
      <c r="B32" s="51"/>
      <c r="C32" s="79"/>
      <c r="D32" s="56"/>
      <c r="E32" s="56"/>
      <c r="F32" s="56"/>
      <c r="G32" s="56"/>
      <c r="H32" s="79"/>
      <c r="I32" s="106"/>
      <c r="J32" s="82"/>
      <c r="K32" s="82"/>
      <c r="L32" s="63"/>
      <c r="M32" s="134"/>
      <c r="N32" s="56" t="s">
        <v>450</v>
      </c>
    </row>
    <row r="33" customFormat="false" ht="12.8" hidden="false" customHeight="false" outlineLevel="0" collapsed="false">
      <c r="A33" s="63"/>
      <c r="B33" s="51"/>
      <c r="C33" s="79"/>
      <c r="D33" s="56"/>
      <c r="E33" s="56"/>
      <c r="F33" s="56"/>
      <c r="G33" s="56"/>
      <c r="H33" s="79"/>
      <c r="I33" s="106"/>
      <c r="J33" s="82"/>
      <c r="K33" s="82"/>
      <c r="L33" s="63"/>
      <c r="M33" s="134"/>
      <c r="N33" s="56" t="s">
        <v>450</v>
      </c>
    </row>
    <row r="34" customFormat="false" ht="12.8" hidden="false" customHeight="false" outlineLevel="0" collapsed="false">
      <c r="A34" s="63"/>
      <c r="B34" s="51"/>
      <c r="C34" s="79"/>
      <c r="D34" s="56"/>
      <c r="E34" s="56"/>
      <c r="F34" s="56"/>
      <c r="G34" s="56"/>
      <c r="H34" s="79"/>
      <c r="I34" s="106"/>
      <c r="J34" s="82"/>
      <c r="K34" s="82"/>
      <c r="L34" s="63"/>
      <c r="M34" s="134"/>
      <c r="N34" s="56" t="s">
        <v>450</v>
      </c>
    </row>
    <row r="35" customFormat="false" ht="12.8" hidden="false" customHeight="false" outlineLevel="0" collapsed="false">
      <c r="A35" s="63"/>
      <c r="B35" s="51"/>
      <c r="C35" s="79"/>
      <c r="D35" s="56"/>
      <c r="E35" s="56"/>
      <c r="F35" s="56"/>
      <c r="G35" s="56"/>
      <c r="H35" s="79"/>
      <c r="I35" s="106"/>
      <c r="J35" s="82"/>
      <c r="K35" s="82"/>
      <c r="L35" s="63"/>
      <c r="M35" s="134"/>
      <c r="N35" s="56" t="s">
        <v>450</v>
      </c>
    </row>
    <row r="36" customFormat="false" ht="12.8" hidden="false" customHeight="false" outlineLevel="0" collapsed="false">
      <c r="A36" s="63"/>
      <c r="B36" s="51"/>
      <c r="C36" s="79"/>
      <c r="D36" s="56"/>
      <c r="E36" s="56"/>
      <c r="F36" s="56"/>
      <c r="G36" s="56"/>
      <c r="H36" s="79"/>
      <c r="I36" s="106"/>
      <c r="J36" s="82"/>
      <c r="K36" s="82"/>
      <c r="L36" s="63"/>
      <c r="M36" s="134"/>
      <c r="N36" s="56" t="s">
        <v>450</v>
      </c>
    </row>
    <row r="37" customFormat="false" ht="12.8" hidden="false" customHeight="false" outlineLevel="0" collapsed="false">
      <c r="A37" s="63"/>
      <c r="B37" s="51"/>
      <c r="C37" s="79"/>
      <c r="D37" s="56"/>
      <c r="E37" s="56"/>
      <c r="F37" s="56"/>
      <c r="G37" s="56"/>
      <c r="H37" s="79"/>
      <c r="I37" s="106"/>
      <c r="J37" s="82"/>
      <c r="K37" s="82"/>
      <c r="L37" s="63"/>
      <c r="M37" s="134"/>
      <c r="N37" s="56" t="s">
        <v>450</v>
      </c>
    </row>
    <row r="38" customFormat="false" ht="12.8" hidden="false" customHeight="false" outlineLevel="0" collapsed="false">
      <c r="A38" s="63"/>
      <c r="B38" s="51"/>
      <c r="C38" s="79"/>
      <c r="D38" s="56"/>
      <c r="E38" s="56"/>
      <c r="F38" s="56"/>
      <c r="G38" s="56"/>
      <c r="H38" s="79"/>
      <c r="I38" s="106"/>
      <c r="J38" s="82"/>
      <c r="K38" s="82"/>
      <c r="L38" s="63"/>
      <c r="M38" s="134"/>
      <c r="N38" s="56" t="s">
        <v>450</v>
      </c>
    </row>
    <row r="39" customFormat="false" ht="12.8" hidden="false" customHeight="false" outlineLevel="0" collapsed="false">
      <c r="A39" s="63"/>
      <c r="B39" s="51"/>
      <c r="C39" s="79"/>
      <c r="D39" s="56"/>
      <c r="E39" s="56"/>
      <c r="F39" s="56"/>
      <c r="G39" s="56"/>
      <c r="H39" s="79"/>
      <c r="I39" s="106"/>
      <c r="J39" s="82"/>
      <c r="K39" s="82"/>
      <c r="L39" s="63"/>
      <c r="M39" s="134"/>
      <c r="N39" s="56" t="s">
        <v>450</v>
      </c>
    </row>
    <row r="40" customFormat="false" ht="12.8" hidden="false" customHeight="false" outlineLevel="0" collapsed="false">
      <c r="B40" s="2"/>
    </row>
  </sheetData>
  <autoFilter ref="A4:N39"/>
  <dataValidations count="2">
    <dataValidation allowBlank="true" errorStyle="stop" operator="equal" showDropDown="false" showErrorMessage="true" showInputMessage="false" sqref="C5:C39" type="list">
      <formula1>Static!$AA$5:$AA$6</formula1>
      <formula2>0</formula2>
    </dataValidation>
    <dataValidation allowBlank="true" errorStyle="stop" operator="equal" showDropDown="false" showErrorMessage="true" showInputMessage="false" sqref="H5:H39" type="list">
      <formula1>Static!$AB$5:$AB$16</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0080"/>
    <pageSetUpPr fitToPage="false"/>
  </sheetPr>
  <dimension ref="A1:AMJ40"/>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F5" activeCellId="0" sqref="F5"/>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31" width="8.99"/>
    <col collapsed="false" customWidth="true" hidden="false" outlineLevel="0" max="4" min="4" style="0" width="41.13"/>
    <col collapsed="false" customWidth="true" hidden="false" outlineLevel="0" max="5" min="5" style="0" width="19.36"/>
    <col collapsed="false" customWidth="true" hidden="false" outlineLevel="0" max="6" min="6" style="2" width="13.4"/>
    <col collapsed="false" customWidth="true" hidden="false" outlineLevel="0" max="7" min="7" style="2" width="50.87"/>
    <col collapsed="false" customWidth="true" hidden="false" outlineLevel="0" max="8" min="8" style="31" width="14.69"/>
    <col collapsed="false" customWidth="true" hidden="false" outlineLevel="0" max="9" min="9" style="0" width="2.54"/>
    <col collapsed="false" customWidth="true" hidden="false" outlineLevel="0" max="1024" min="1019" style="0" width="11.52"/>
  </cols>
  <sheetData>
    <row r="1" s="38" customFormat="true" ht="81.3" hidden="false" customHeight="true" outlineLevel="1" collapsed="false">
      <c r="A1" s="36" t="s">
        <v>782</v>
      </c>
      <c r="B1" s="34" t="s">
        <v>895</v>
      </c>
      <c r="C1" s="35" t="s">
        <v>953</v>
      </c>
      <c r="D1" s="35" t="s">
        <v>854</v>
      </c>
      <c r="E1" s="86" t="s">
        <v>977</v>
      </c>
      <c r="F1" s="116" t="s">
        <v>790</v>
      </c>
      <c r="G1" s="36" t="s">
        <v>870</v>
      </c>
      <c r="H1" s="34" t="s">
        <v>939</v>
      </c>
      <c r="I1" s="36" t="s">
        <v>393</v>
      </c>
      <c r="ALT1" s="0"/>
      <c r="ALU1" s="0"/>
      <c r="ALV1" s="0"/>
      <c r="ALW1" s="0"/>
      <c r="ALX1" s="0"/>
      <c r="ALY1" s="0"/>
      <c r="ALZ1" s="0"/>
      <c r="AMA1" s="0"/>
      <c r="AMB1" s="0"/>
      <c r="AMC1" s="0"/>
      <c r="AMD1" s="0"/>
      <c r="AME1" s="0"/>
      <c r="AMF1" s="0"/>
      <c r="AMG1" s="0"/>
      <c r="AMH1" s="0"/>
      <c r="AMI1" s="0"/>
      <c r="AMJ1" s="0"/>
    </row>
    <row r="2" s="38" customFormat="true" ht="12.8" hidden="false" customHeight="false" outlineLevel="1" collapsed="false">
      <c r="A2" s="36"/>
      <c r="B2" s="34"/>
      <c r="C2" s="35"/>
      <c r="D2" s="35"/>
      <c r="E2" s="86"/>
      <c r="F2" s="116"/>
      <c r="G2" s="36"/>
      <c r="H2" s="34"/>
      <c r="I2" s="36"/>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39" t="s">
        <v>394</v>
      </c>
      <c r="B3" s="41" t="s">
        <v>721</v>
      </c>
      <c r="C3" s="43" t="s">
        <v>424</v>
      </c>
      <c r="D3" s="43" t="s">
        <v>425</v>
      </c>
      <c r="E3" s="43" t="s">
        <v>738</v>
      </c>
      <c r="F3" s="131" t="s">
        <v>433</v>
      </c>
      <c r="G3" s="39" t="s">
        <v>434</v>
      </c>
      <c r="H3" s="41" t="s">
        <v>886</v>
      </c>
      <c r="I3" s="43" t="s">
        <v>442</v>
      </c>
    </row>
    <row r="4" customFormat="false" ht="9.7" hidden="false" customHeight="true" outlineLevel="0" collapsed="false">
      <c r="A4" s="45" t="str">
        <f aca="false">A3</f>
        <v>A</v>
      </c>
      <c r="B4" s="46" t="str">
        <f aca="false">B3</f>
        <v>Status</v>
      </c>
      <c r="C4" s="47" t="str">
        <f aca="false">C3</f>
        <v>Name</v>
      </c>
      <c r="D4" s="47" t="str">
        <f aca="false">D3</f>
        <v>Overview</v>
      </c>
      <c r="E4" s="47" t="str">
        <f aca="false">E3</f>
        <v>Link</v>
      </c>
      <c r="F4" s="47" t="str">
        <f aca="false">F3</f>
        <v>Reference</v>
      </c>
      <c r="G4" s="45" t="str">
        <f aca="false">F3</f>
        <v>Reference</v>
      </c>
      <c r="H4" s="46" t="str">
        <f aca="false">H3</f>
        <v>ID</v>
      </c>
      <c r="I4" s="47" t="str">
        <f aca="false">I3</f>
        <v>Z</v>
      </c>
    </row>
    <row r="5" customFormat="false" ht="12.8" hidden="false" customHeight="false" outlineLevel="0" collapsed="false">
      <c r="A5" s="63"/>
      <c r="B5" s="51"/>
      <c r="C5" s="56"/>
      <c r="D5" s="56"/>
      <c r="E5" s="56"/>
      <c r="F5" s="82" t="s">
        <v>25</v>
      </c>
      <c r="G5" s="63" t="s">
        <v>25</v>
      </c>
      <c r="H5" s="134"/>
      <c r="I5" s="56" t="s">
        <v>450</v>
      </c>
    </row>
    <row r="6" customFormat="false" ht="12.8" hidden="false" customHeight="false" outlineLevel="0" collapsed="false">
      <c r="A6" s="63"/>
      <c r="B6" s="51"/>
      <c r="C6" s="56"/>
      <c r="D6" s="56"/>
      <c r="E6" s="56"/>
      <c r="F6" s="82" t="s">
        <v>25</v>
      </c>
      <c r="G6" s="63" t="s">
        <v>25</v>
      </c>
      <c r="H6" s="134"/>
      <c r="I6" s="56" t="s">
        <v>450</v>
      </c>
    </row>
    <row r="7" customFormat="false" ht="12.8" hidden="false" customHeight="false" outlineLevel="0" collapsed="false">
      <c r="A7" s="63"/>
      <c r="B7" s="51"/>
      <c r="C7" s="56"/>
      <c r="D7" s="56"/>
      <c r="E7" s="56"/>
      <c r="F7" s="82"/>
      <c r="G7" s="63"/>
      <c r="H7" s="134"/>
      <c r="I7" s="56" t="s">
        <v>450</v>
      </c>
    </row>
    <row r="8" customFormat="false" ht="12.8" hidden="false" customHeight="false" outlineLevel="0" collapsed="false">
      <c r="A8" s="63"/>
      <c r="B8" s="51"/>
      <c r="C8" s="56"/>
      <c r="D8" s="56"/>
      <c r="E8" s="56"/>
      <c r="F8" s="82"/>
      <c r="G8" s="63"/>
      <c r="H8" s="134"/>
      <c r="I8" s="56" t="s">
        <v>450</v>
      </c>
    </row>
    <row r="9" customFormat="false" ht="12.8" hidden="false" customHeight="false" outlineLevel="0" collapsed="false">
      <c r="A9" s="63"/>
      <c r="B9" s="51"/>
      <c r="C9" s="56"/>
      <c r="D9" s="56"/>
      <c r="E9" s="56"/>
      <c r="F9" s="82"/>
      <c r="G9" s="63"/>
      <c r="H9" s="134"/>
      <c r="I9" s="56" t="s">
        <v>450</v>
      </c>
    </row>
    <row r="10" customFormat="false" ht="12.8" hidden="false" customHeight="false" outlineLevel="0" collapsed="false">
      <c r="A10" s="63"/>
      <c r="B10" s="51"/>
      <c r="C10" s="56"/>
      <c r="D10" s="56"/>
      <c r="E10" s="56"/>
      <c r="F10" s="82"/>
      <c r="G10" s="63"/>
      <c r="H10" s="134"/>
      <c r="I10" s="56" t="s">
        <v>450</v>
      </c>
    </row>
    <row r="11" customFormat="false" ht="12.8" hidden="false" customHeight="false" outlineLevel="0" collapsed="false">
      <c r="A11" s="63"/>
      <c r="B11" s="51"/>
      <c r="C11" s="56"/>
      <c r="D11" s="56"/>
      <c r="E11" s="56"/>
      <c r="F11" s="82"/>
      <c r="G11" s="63"/>
      <c r="H11" s="134"/>
      <c r="I11" s="56" t="s">
        <v>450</v>
      </c>
    </row>
    <row r="12" customFormat="false" ht="12.8" hidden="false" customHeight="false" outlineLevel="0" collapsed="false">
      <c r="A12" s="63"/>
      <c r="B12" s="51"/>
      <c r="C12" s="56"/>
      <c r="D12" s="56"/>
      <c r="E12" s="56"/>
      <c r="F12" s="82"/>
      <c r="G12" s="63"/>
      <c r="H12" s="134"/>
      <c r="I12" s="56" t="s">
        <v>450</v>
      </c>
    </row>
    <row r="13" customFormat="false" ht="12.8" hidden="false" customHeight="false" outlineLevel="0" collapsed="false">
      <c r="A13" s="63"/>
      <c r="B13" s="51"/>
      <c r="C13" s="56"/>
      <c r="D13" s="56"/>
      <c r="E13" s="56"/>
      <c r="F13" s="82"/>
      <c r="G13" s="63"/>
      <c r="H13" s="134"/>
      <c r="I13" s="56" t="s">
        <v>450</v>
      </c>
    </row>
    <row r="14" customFormat="false" ht="12.8" hidden="false" customHeight="false" outlineLevel="0" collapsed="false">
      <c r="A14" s="63"/>
      <c r="B14" s="51"/>
      <c r="C14" s="56"/>
      <c r="D14" s="56"/>
      <c r="E14" s="56"/>
      <c r="F14" s="82"/>
      <c r="G14" s="63"/>
      <c r="H14" s="134"/>
      <c r="I14" s="56" t="s">
        <v>450</v>
      </c>
    </row>
    <row r="15" customFormat="false" ht="12.8" hidden="false" customHeight="false" outlineLevel="0" collapsed="false">
      <c r="A15" s="63"/>
      <c r="B15" s="51"/>
      <c r="C15" s="56"/>
      <c r="D15" s="56"/>
      <c r="E15" s="56"/>
      <c r="F15" s="82"/>
      <c r="G15" s="63"/>
      <c r="H15" s="134"/>
      <c r="I15" s="56" t="s">
        <v>450</v>
      </c>
    </row>
    <row r="16" customFormat="false" ht="12.8" hidden="false" customHeight="false" outlineLevel="0" collapsed="false">
      <c r="A16" s="63"/>
      <c r="B16" s="51"/>
      <c r="C16" s="56"/>
      <c r="D16" s="56"/>
      <c r="E16" s="56"/>
      <c r="F16" s="82"/>
      <c r="G16" s="63"/>
      <c r="H16" s="134"/>
      <c r="I16" s="56" t="s">
        <v>450</v>
      </c>
    </row>
    <row r="17" customFormat="false" ht="12.8" hidden="false" customHeight="false" outlineLevel="0" collapsed="false">
      <c r="A17" s="63"/>
      <c r="B17" s="51"/>
      <c r="C17" s="56"/>
      <c r="D17" s="56"/>
      <c r="E17" s="56"/>
      <c r="F17" s="82"/>
      <c r="G17" s="63"/>
      <c r="H17" s="134"/>
      <c r="I17" s="56" t="s">
        <v>450</v>
      </c>
    </row>
    <row r="18" customFormat="false" ht="12.8" hidden="false" customHeight="false" outlineLevel="0" collapsed="false">
      <c r="A18" s="63"/>
      <c r="B18" s="51"/>
      <c r="C18" s="56"/>
      <c r="D18" s="56"/>
      <c r="E18" s="56"/>
      <c r="F18" s="82"/>
      <c r="G18" s="63"/>
      <c r="H18" s="134"/>
      <c r="I18" s="56" t="s">
        <v>450</v>
      </c>
    </row>
    <row r="19" customFormat="false" ht="12.8" hidden="false" customHeight="false" outlineLevel="0" collapsed="false">
      <c r="A19" s="63"/>
      <c r="B19" s="51"/>
      <c r="C19" s="56"/>
      <c r="D19" s="56"/>
      <c r="E19" s="56"/>
      <c r="F19" s="82"/>
      <c r="G19" s="63"/>
      <c r="H19" s="134"/>
      <c r="I19" s="56" t="s">
        <v>450</v>
      </c>
    </row>
    <row r="20" customFormat="false" ht="12.8" hidden="false" customHeight="false" outlineLevel="0" collapsed="false">
      <c r="A20" s="63"/>
      <c r="B20" s="51"/>
      <c r="C20" s="56"/>
      <c r="D20" s="56"/>
      <c r="E20" s="56"/>
      <c r="F20" s="82"/>
      <c r="G20" s="63"/>
      <c r="H20" s="134"/>
      <c r="I20" s="56" t="s">
        <v>450</v>
      </c>
    </row>
    <row r="21" customFormat="false" ht="12.8" hidden="false" customHeight="false" outlineLevel="0" collapsed="false">
      <c r="A21" s="63"/>
      <c r="B21" s="51"/>
      <c r="C21" s="56"/>
      <c r="D21" s="56"/>
      <c r="E21" s="56"/>
      <c r="F21" s="82"/>
      <c r="G21" s="63"/>
      <c r="H21" s="134"/>
      <c r="I21" s="56" t="s">
        <v>450</v>
      </c>
    </row>
    <row r="22" customFormat="false" ht="12.8" hidden="false" customHeight="false" outlineLevel="0" collapsed="false">
      <c r="A22" s="63"/>
      <c r="B22" s="51"/>
      <c r="C22" s="56"/>
      <c r="D22" s="56"/>
      <c r="E22" s="56"/>
      <c r="F22" s="82"/>
      <c r="G22" s="63"/>
      <c r="H22" s="134"/>
      <c r="I22" s="56" t="s">
        <v>450</v>
      </c>
    </row>
    <row r="23" customFormat="false" ht="12.8" hidden="false" customHeight="false" outlineLevel="0" collapsed="false">
      <c r="A23" s="63"/>
      <c r="B23" s="51"/>
      <c r="C23" s="56"/>
      <c r="D23" s="56"/>
      <c r="E23" s="56"/>
      <c r="F23" s="82"/>
      <c r="G23" s="63"/>
      <c r="H23" s="134"/>
      <c r="I23" s="56" t="s">
        <v>450</v>
      </c>
    </row>
    <row r="24" customFormat="false" ht="12.8" hidden="false" customHeight="false" outlineLevel="0" collapsed="false">
      <c r="A24" s="63"/>
      <c r="B24" s="51"/>
      <c r="C24" s="56"/>
      <c r="D24" s="56"/>
      <c r="E24" s="56"/>
      <c r="F24" s="82"/>
      <c r="G24" s="63"/>
      <c r="H24" s="134"/>
      <c r="I24" s="56" t="s">
        <v>450</v>
      </c>
    </row>
    <row r="25" customFormat="false" ht="12.8" hidden="false" customHeight="false" outlineLevel="0" collapsed="false">
      <c r="A25" s="63"/>
      <c r="B25" s="51"/>
      <c r="C25" s="56"/>
      <c r="D25" s="56"/>
      <c r="E25" s="56"/>
      <c r="F25" s="82"/>
      <c r="G25" s="63"/>
      <c r="H25" s="134"/>
      <c r="I25" s="56" t="s">
        <v>450</v>
      </c>
    </row>
    <row r="26" customFormat="false" ht="12.8" hidden="false" customHeight="false" outlineLevel="0" collapsed="false">
      <c r="A26" s="63"/>
      <c r="B26" s="51"/>
      <c r="C26" s="56"/>
      <c r="D26" s="56"/>
      <c r="E26" s="56"/>
      <c r="F26" s="82"/>
      <c r="G26" s="63"/>
      <c r="H26" s="134"/>
      <c r="I26" s="56" t="s">
        <v>450</v>
      </c>
    </row>
    <row r="27" customFormat="false" ht="12.8" hidden="false" customHeight="false" outlineLevel="0" collapsed="false">
      <c r="A27" s="63"/>
      <c r="B27" s="51"/>
      <c r="C27" s="56"/>
      <c r="D27" s="56"/>
      <c r="E27" s="56"/>
      <c r="F27" s="82"/>
      <c r="G27" s="63"/>
      <c r="H27" s="134"/>
      <c r="I27" s="56" t="s">
        <v>450</v>
      </c>
    </row>
    <row r="28" customFormat="false" ht="12.8" hidden="false" customHeight="false" outlineLevel="0" collapsed="false">
      <c r="A28" s="63"/>
      <c r="B28" s="51"/>
      <c r="C28" s="56"/>
      <c r="D28" s="56"/>
      <c r="E28" s="56"/>
      <c r="F28" s="82"/>
      <c r="G28" s="63"/>
      <c r="H28" s="134"/>
      <c r="I28" s="56" t="s">
        <v>450</v>
      </c>
    </row>
    <row r="29" customFormat="false" ht="12.8" hidden="false" customHeight="false" outlineLevel="0" collapsed="false">
      <c r="A29" s="63"/>
      <c r="B29" s="51"/>
      <c r="C29" s="56"/>
      <c r="D29" s="56"/>
      <c r="E29" s="56"/>
      <c r="F29" s="82"/>
      <c r="G29" s="63"/>
      <c r="H29" s="134"/>
      <c r="I29" s="56" t="s">
        <v>450</v>
      </c>
    </row>
    <row r="30" customFormat="false" ht="12.8" hidden="false" customHeight="false" outlineLevel="0" collapsed="false">
      <c r="A30" s="63"/>
      <c r="B30" s="51"/>
      <c r="C30" s="56"/>
      <c r="D30" s="56"/>
      <c r="E30" s="56"/>
      <c r="F30" s="82"/>
      <c r="G30" s="63"/>
      <c r="H30" s="134"/>
      <c r="I30" s="56" t="s">
        <v>450</v>
      </c>
    </row>
    <row r="31" customFormat="false" ht="12.8" hidden="false" customHeight="false" outlineLevel="0" collapsed="false">
      <c r="A31" s="63"/>
      <c r="B31" s="51"/>
      <c r="C31" s="56"/>
      <c r="D31" s="56"/>
      <c r="E31" s="56"/>
      <c r="F31" s="82"/>
      <c r="G31" s="63"/>
      <c r="H31" s="134"/>
      <c r="I31" s="56" t="s">
        <v>450</v>
      </c>
    </row>
    <row r="32" customFormat="false" ht="12.8" hidden="false" customHeight="false" outlineLevel="0" collapsed="false">
      <c r="A32" s="63"/>
      <c r="B32" s="51"/>
      <c r="C32" s="56"/>
      <c r="D32" s="56"/>
      <c r="E32" s="56"/>
      <c r="F32" s="82"/>
      <c r="G32" s="63"/>
      <c r="H32" s="134"/>
      <c r="I32" s="56" t="s">
        <v>450</v>
      </c>
    </row>
    <row r="33" customFormat="false" ht="12.8" hidden="false" customHeight="false" outlineLevel="0" collapsed="false">
      <c r="A33" s="63"/>
      <c r="B33" s="51"/>
      <c r="C33" s="56"/>
      <c r="D33" s="56"/>
      <c r="E33" s="56"/>
      <c r="F33" s="82"/>
      <c r="G33" s="63"/>
      <c r="H33" s="134"/>
      <c r="I33" s="56" t="s">
        <v>450</v>
      </c>
    </row>
    <row r="34" customFormat="false" ht="12.8" hidden="false" customHeight="false" outlineLevel="0" collapsed="false">
      <c r="A34" s="63"/>
      <c r="B34" s="51"/>
      <c r="C34" s="56"/>
      <c r="D34" s="56"/>
      <c r="E34" s="56"/>
      <c r="F34" s="82"/>
      <c r="G34" s="63"/>
      <c r="H34" s="134"/>
      <c r="I34" s="56" t="s">
        <v>450</v>
      </c>
    </row>
    <row r="35" customFormat="false" ht="12.8" hidden="false" customHeight="false" outlineLevel="0" collapsed="false">
      <c r="A35" s="63"/>
      <c r="B35" s="51"/>
      <c r="C35" s="56"/>
      <c r="D35" s="56"/>
      <c r="E35" s="56"/>
      <c r="F35" s="82"/>
      <c r="G35" s="63"/>
      <c r="H35" s="134"/>
      <c r="I35" s="56" t="s">
        <v>450</v>
      </c>
    </row>
    <row r="36" customFormat="false" ht="12.8" hidden="false" customHeight="false" outlineLevel="0" collapsed="false">
      <c r="A36" s="63"/>
      <c r="B36" s="51"/>
      <c r="C36" s="56"/>
      <c r="D36" s="56"/>
      <c r="E36" s="56"/>
      <c r="F36" s="82"/>
      <c r="G36" s="63"/>
      <c r="H36" s="134"/>
      <c r="I36" s="56" t="s">
        <v>450</v>
      </c>
    </row>
    <row r="37" customFormat="false" ht="12.8" hidden="false" customHeight="false" outlineLevel="0" collapsed="false">
      <c r="A37" s="63"/>
      <c r="B37" s="51"/>
      <c r="C37" s="56"/>
      <c r="D37" s="56"/>
      <c r="E37" s="56"/>
      <c r="F37" s="82"/>
      <c r="G37" s="63"/>
      <c r="H37" s="134"/>
      <c r="I37" s="56" t="s">
        <v>450</v>
      </c>
    </row>
    <row r="38" customFormat="false" ht="12.8" hidden="false" customHeight="false" outlineLevel="0" collapsed="false">
      <c r="A38" s="63"/>
      <c r="B38" s="51"/>
      <c r="C38" s="56"/>
      <c r="D38" s="56"/>
      <c r="E38" s="56"/>
      <c r="F38" s="82"/>
      <c r="G38" s="63"/>
      <c r="H38" s="134"/>
      <c r="I38" s="56" t="s">
        <v>450</v>
      </c>
    </row>
    <row r="39" customFormat="false" ht="12.8" hidden="false" customHeight="false" outlineLevel="0" collapsed="false">
      <c r="A39" s="63"/>
      <c r="B39" s="51"/>
      <c r="C39" s="56"/>
      <c r="D39" s="56"/>
      <c r="E39" s="56"/>
      <c r="F39" s="82"/>
      <c r="G39" s="63"/>
      <c r="H39" s="134"/>
      <c r="I39" s="56" t="s">
        <v>450</v>
      </c>
    </row>
    <row r="40" customFormat="false" ht="12.8" hidden="false" customHeight="false" outlineLevel="0" collapsed="false">
      <c r="B40" s="2"/>
    </row>
  </sheetData>
  <autoFilter ref="A4:I39"/>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000"/>
    <pageSetUpPr fitToPage="false"/>
  </sheetPr>
  <dimension ref="A1:AMJ55"/>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2" ySplit="4" topLeftCell="C5" activePane="bottomRight" state="frozen"/>
      <selection pane="topLeft" activeCell="A1" activeCellId="0" sqref="A1"/>
      <selection pane="topRight" activeCell="C1" activeCellId="0" sqref="C1"/>
      <selection pane="bottomLeft" activeCell="A5" activeCellId="0" sqref="A5"/>
      <selection pane="bottomRight" activeCell="E13" activeCellId="0" sqref="E13"/>
    </sheetView>
  </sheetViews>
  <sheetFormatPr defaultColWidth="16.1484375" defaultRowHeight="12.8" zeroHeight="false" outlineLevelRow="1" outlineLevelCol="0"/>
  <cols>
    <col collapsed="false" customWidth="true" hidden="false" outlineLevel="0" max="1" min="1" style="2" width="1.8"/>
    <col collapsed="false" customWidth="true" hidden="false" outlineLevel="0" max="2" min="2" style="139" width="7.41"/>
    <col collapsed="false" customWidth="true" hidden="false" outlineLevel="0" max="3" min="3" style="31" width="9.47"/>
    <col collapsed="false" customWidth="true" hidden="false" outlineLevel="0" max="4" min="4" style="2" width="25.16"/>
    <col collapsed="false" customWidth="true" hidden="false" outlineLevel="0" max="5" min="5" style="2" width="118.96"/>
    <col collapsed="false" customWidth="true" hidden="false" outlineLevel="0" max="6" min="6" style="31" width="14.69"/>
    <col collapsed="false" customWidth="true" hidden="false" outlineLevel="0" max="7" min="7" style="0" width="2.54"/>
    <col collapsed="false" customWidth="true" hidden="false" outlineLevel="0" max="1024" min="1017" style="0" width="11.52"/>
  </cols>
  <sheetData>
    <row r="1" s="38" customFormat="true" ht="81.3" hidden="false" customHeight="true" outlineLevel="1" collapsed="false">
      <c r="A1" s="36" t="s">
        <v>782</v>
      </c>
      <c r="B1" s="140" t="s">
        <v>978</v>
      </c>
      <c r="C1" s="34" t="s">
        <v>979</v>
      </c>
      <c r="D1" s="116" t="s">
        <v>980</v>
      </c>
      <c r="E1" s="116" t="s">
        <v>981</v>
      </c>
      <c r="F1" s="34"/>
      <c r="G1" s="36" t="s">
        <v>393</v>
      </c>
      <c r="ALR1" s="0"/>
      <c r="ALS1" s="0"/>
      <c r="ALT1" s="0"/>
      <c r="ALU1" s="0"/>
      <c r="ALV1" s="0"/>
      <c r="ALW1" s="0"/>
      <c r="ALX1" s="0"/>
      <c r="ALY1" s="0"/>
      <c r="ALZ1" s="0"/>
      <c r="AMA1" s="0"/>
      <c r="AMB1" s="0"/>
      <c r="AMC1" s="0"/>
      <c r="AMD1" s="0"/>
      <c r="AME1" s="0"/>
      <c r="AMF1" s="0"/>
      <c r="AMG1" s="0"/>
      <c r="AMH1" s="0"/>
      <c r="AMI1" s="0"/>
      <c r="AMJ1" s="0"/>
    </row>
    <row r="2" s="38" customFormat="true" ht="12.8" hidden="false" customHeight="false" outlineLevel="1" collapsed="false">
      <c r="A2" s="36"/>
      <c r="B2" s="140"/>
      <c r="C2" s="34"/>
      <c r="D2" s="116"/>
      <c r="E2" s="116"/>
      <c r="F2" s="34"/>
      <c r="G2" s="36"/>
      <c r="ALR2" s="0"/>
      <c r="ALS2" s="0"/>
      <c r="ALT2" s="0"/>
      <c r="ALU2" s="0"/>
      <c r="ALV2" s="0"/>
      <c r="ALW2" s="0"/>
      <c r="ALX2" s="0"/>
      <c r="ALY2" s="0"/>
      <c r="ALZ2" s="0"/>
      <c r="AMA2" s="0"/>
      <c r="AMB2" s="0"/>
      <c r="AMC2" s="0"/>
      <c r="AMD2" s="0"/>
      <c r="AME2" s="0"/>
      <c r="AMF2" s="0"/>
      <c r="AMG2" s="0"/>
      <c r="AMH2" s="0"/>
      <c r="AMI2" s="0"/>
      <c r="AMJ2" s="0"/>
    </row>
    <row r="3" customFormat="false" ht="24.85" hidden="false" customHeight="false" outlineLevel="0" collapsed="false">
      <c r="A3" s="39" t="s">
        <v>394</v>
      </c>
      <c r="B3" s="141" t="s">
        <v>982</v>
      </c>
      <c r="C3" s="41" t="s">
        <v>983</v>
      </c>
      <c r="D3" s="39" t="s">
        <v>424</v>
      </c>
      <c r="E3" s="131" t="s">
        <v>425</v>
      </c>
      <c r="F3" s="41" t="s">
        <v>984</v>
      </c>
      <c r="G3" s="43" t="s">
        <v>442</v>
      </c>
    </row>
    <row r="4" customFormat="false" ht="9.7" hidden="false" customHeight="true" outlineLevel="0" collapsed="false">
      <c r="A4" s="45" t="str">
        <f aca="false">A3</f>
        <v>A</v>
      </c>
      <c r="B4" s="142" t="str">
        <f aca="false">B3</f>
        <v>Time</v>
      </c>
      <c r="C4" s="46" t="str">
        <f aca="false">C3</f>
        <v>Perso / Work</v>
      </c>
      <c r="D4" s="45" t="str">
        <f aca="false">D3</f>
        <v>Name</v>
      </c>
      <c r="E4" s="45" t="str">
        <f aca="false">E3</f>
        <v>Overview</v>
      </c>
      <c r="F4" s="46" t="str">
        <f aca="false">F3</f>
        <v>xxx</v>
      </c>
      <c r="G4" s="47" t="str">
        <f aca="false">G3</f>
        <v>Z</v>
      </c>
    </row>
    <row r="5" customFormat="false" ht="12.8" hidden="false" customHeight="false" outlineLevel="0" collapsed="false">
      <c r="A5" s="63"/>
      <c r="B5" s="143" t="n">
        <v>0</v>
      </c>
      <c r="C5" s="144" t="s">
        <v>985</v>
      </c>
      <c r="D5" s="121" t="s">
        <v>986</v>
      </c>
      <c r="E5" s="82" t="s">
        <v>987</v>
      </c>
      <c r="F5" s="134"/>
      <c r="G5" s="56" t="s">
        <v>450</v>
      </c>
    </row>
    <row r="6" customFormat="false" ht="12.8" hidden="false" customHeight="false" outlineLevel="0" collapsed="false">
      <c r="A6" s="63"/>
      <c r="B6" s="143" t="n">
        <v>0.0208333333333333</v>
      </c>
      <c r="C6" s="144" t="s">
        <v>985</v>
      </c>
      <c r="D6" s="121" t="s">
        <v>986</v>
      </c>
      <c r="E6" s="82" t="s">
        <v>987</v>
      </c>
      <c r="F6" s="134"/>
      <c r="G6" s="56" t="s">
        <v>450</v>
      </c>
    </row>
    <row r="7" customFormat="false" ht="12.8" hidden="false" customHeight="false" outlineLevel="0" collapsed="false">
      <c r="A7" s="63"/>
      <c r="B7" s="143" t="n">
        <v>0.0416666666666667</v>
      </c>
      <c r="C7" s="144" t="s">
        <v>985</v>
      </c>
      <c r="D7" s="121" t="s">
        <v>986</v>
      </c>
      <c r="E7" s="82" t="s">
        <v>987</v>
      </c>
      <c r="F7" s="134"/>
      <c r="G7" s="56" t="s">
        <v>450</v>
      </c>
    </row>
    <row r="8" customFormat="false" ht="12.8" hidden="false" customHeight="false" outlineLevel="0" collapsed="false">
      <c r="A8" s="63"/>
      <c r="B8" s="143" t="n">
        <v>0.0625</v>
      </c>
      <c r="C8" s="144" t="s">
        <v>985</v>
      </c>
      <c r="D8" s="121" t="s">
        <v>986</v>
      </c>
      <c r="E8" s="82" t="s">
        <v>987</v>
      </c>
      <c r="F8" s="134"/>
      <c r="G8" s="56" t="s">
        <v>450</v>
      </c>
    </row>
    <row r="9" customFormat="false" ht="12.8" hidden="false" customHeight="false" outlineLevel="0" collapsed="false">
      <c r="A9" s="63"/>
      <c r="B9" s="143" t="n">
        <v>0.0833333333333333</v>
      </c>
      <c r="C9" s="144" t="s">
        <v>985</v>
      </c>
      <c r="D9" s="121" t="s">
        <v>986</v>
      </c>
      <c r="E9" s="82" t="s">
        <v>987</v>
      </c>
      <c r="F9" s="134"/>
      <c r="G9" s="56" t="s">
        <v>450</v>
      </c>
    </row>
    <row r="10" customFormat="false" ht="12.8" hidden="false" customHeight="false" outlineLevel="0" collapsed="false">
      <c r="A10" s="63"/>
      <c r="B10" s="143" t="n">
        <v>0.104166666666667</v>
      </c>
      <c r="C10" s="144" t="s">
        <v>985</v>
      </c>
      <c r="D10" s="121" t="s">
        <v>986</v>
      </c>
      <c r="E10" s="82" t="s">
        <v>987</v>
      </c>
      <c r="F10" s="134"/>
      <c r="G10" s="56" t="s">
        <v>450</v>
      </c>
    </row>
    <row r="11" customFormat="false" ht="12.8" hidden="false" customHeight="false" outlineLevel="0" collapsed="false">
      <c r="A11" s="63"/>
      <c r="B11" s="143" t="n">
        <v>0.125</v>
      </c>
      <c r="C11" s="144" t="s">
        <v>985</v>
      </c>
      <c r="D11" s="121" t="s">
        <v>986</v>
      </c>
      <c r="E11" s="82" t="s">
        <v>987</v>
      </c>
      <c r="F11" s="134"/>
      <c r="G11" s="56" t="s">
        <v>450</v>
      </c>
    </row>
    <row r="12" customFormat="false" ht="12.8" hidden="false" customHeight="false" outlineLevel="0" collapsed="false">
      <c r="A12" s="63"/>
      <c r="B12" s="143" t="n">
        <v>0.145833333333333</v>
      </c>
      <c r="C12" s="144" t="s">
        <v>985</v>
      </c>
      <c r="D12" s="121" t="s">
        <v>986</v>
      </c>
      <c r="E12" s="82" t="s">
        <v>987</v>
      </c>
      <c r="F12" s="134"/>
      <c r="G12" s="56" t="s">
        <v>450</v>
      </c>
    </row>
    <row r="13" customFormat="false" ht="12.8" hidden="false" customHeight="false" outlineLevel="0" collapsed="false">
      <c r="A13" s="63"/>
      <c r="B13" s="143" t="n">
        <v>0.166666666666667</v>
      </c>
      <c r="C13" s="144" t="s">
        <v>985</v>
      </c>
      <c r="D13" s="121" t="s">
        <v>986</v>
      </c>
      <c r="E13" s="82" t="s">
        <v>987</v>
      </c>
      <c r="F13" s="134"/>
      <c r="G13" s="56" t="s">
        <v>450</v>
      </c>
    </row>
    <row r="14" customFormat="false" ht="12.8" hidden="false" customHeight="false" outlineLevel="0" collapsed="false">
      <c r="A14" s="63"/>
      <c r="B14" s="143" t="n">
        <v>0.1875</v>
      </c>
      <c r="C14" s="144" t="s">
        <v>985</v>
      </c>
      <c r="D14" s="121" t="s">
        <v>986</v>
      </c>
      <c r="E14" s="82" t="s">
        <v>987</v>
      </c>
      <c r="F14" s="134"/>
      <c r="G14" s="56" t="s">
        <v>450</v>
      </c>
    </row>
    <row r="15" customFormat="false" ht="12.8" hidden="false" customHeight="false" outlineLevel="0" collapsed="false">
      <c r="A15" s="63"/>
      <c r="B15" s="143" t="n">
        <v>0.208333333333333</v>
      </c>
      <c r="C15" s="144" t="s">
        <v>985</v>
      </c>
      <c r="D15" s="121" t="s">
        <v>988</v>
      </c>
      <c r="E15" s="82" t="s">
        <v>989</v>
      </c>
      <c r="F15" s="134"/>
      <c r="G15" s="56" t="s">
        <v>450</v>
      </c>
    </row>
    <row r="16" customFormat="false" ht="12.8" hidden="false" customHeight="false" outlineLevel="0" collapsed="false">
      <c r="A16" s="63"/>
      <c r="B16" s="143" t="n">
        <v>0.229166666666667</v>
      </c>
      <c r="C16" s="144" t="s">
        <v>985</v>
      </c>
      <c r="D16" s="121" t="s">
        <v>990</v>
      </c>
      <c r="E16" s="82" t="s">
        <v>991</v>
      </c>
      <c r="F16" s="134"/>
      <c r="G16" s="56" t="s">
        <v>450</v>
      </c>
    </row>
    <row r="17" customFormat="false" ht="12.8" hidden="false" customHeight="false" outlineLevel="0" collapsed="false">
      <c r="A17" s="63"/>
      <c r="B17" s="143" t="n">
        <v>0.25</v>
      </c>
      <c r="C17" s="145" t="s">
        <v>992</v>
      </c>
      <c r="D17" s="121" t="s">
        <v>993</v>
      </c>
      <c r="E17" s="82" t="s">
        <v>994</v>
      </c>
      <c r="F17" s="134"/>
      <c r="G17" s="56" t="s">
        <v>450</v>
      </c>
    </row>
    <row r="18" customFormat="false" ht="12.8" hidden="false" customHeight="false" outlineLevel="0" collapsed="false">
      <c r="A18" s="63"/>
      <c r="B18" s="143" t="n">
        <v>0.270833333333333</v>
      </c>
      <c r="C18" s="145" t="s">
        <v>992</v>
      </c>
      <c r="D18" s="121" t="s">
        <v>995</v>
      </c>
      <c r="E18" s="82" t="s">
        <v>996</v>
      </c>
      <c r="F18" s="134"/>
      <c r="G18" s="56" t="s">
        <v>450</v>
      </c>
    </row>
    <row r="19" customFormat="false" ht="12.8" hidden="false" customHeight="false" outlineLevel="0" collapsed="false">
      <c r="A19" s="63"/>
      <c r="B19" s="143" t="n">
        <v>0.291666666666667</v>
      </c>
      <c r="C19" s="145" t="s">
        <v>992</v>
      </c>
      <c r="D19" s="121" t="s">
        <v>997</v>
      </c>
      <c r="E19" s="82" t="s">
        <v>998</v>
      </c>
      <c r="F19" s="134"/>
      <c r="G19" s="56" t="s">
        <v>450</v>
      </c>
    </row>
    <row r="20" customFormat="false" ht="12.8" hidden="false" customHeight="false" outlineLevel="0" collapsed="false">
      <c r="A20" s="63"/>
      <c r="B20" s="143" t="n">
        <v>0.3125</v>
      </c>
      <c r="C20" s="145" t="s">
        <v>992</v>
      </c>
      <c r="D20" s="121" t="s">
        <v>999</v>
      </c>
      <c r="E20" s="82" t="s">
        <v>1000</v>
      </c>
      <c r="F20" s="134"/>
      <c r="G20" s="56" t="s">
        <v>450</v>
      </c>
    </row>
    <row r="21" customFormat="false" ht="12.8" hidden="false" customHeight="false" outlineLevel="0" collapsed="false">
      <c r="A21" s="63"/>
      <c r="B21" s="143" t="n">
        <v>0.333333333333333</v>
      </c>
      <c r="C21" s="145" t="s">
        <v>992</v>
      </c>
      <c r="D21" s="121" t="s">
        <v>1001</v>
      </c>
      <c r="E21" s="82" t="s">
        <v>1002</v>
      </c>
      <c r="F21" s="134"/>
      <c r="G21" s="56" t="s">
        <v>450</v>
      </c>
    </row>
    <row r="22" customFormat="false" ht="12.8" hidden="false" customHeight="false" outlineLevel="0" collapsed="false">
      <c r="A22" s="63"/>
      <c r="B22" s="143" t="n">
        <v>0.354166666666667</v>
      </c>
      <c r="C22" s="145" t="s">
        <v>992</v>
      </c>
      <c r="D22" s="121" t="s">
        <v>443</v>
      </c>
      <c r="E22" s="82" t="s">
        <v>1003</v>
      </c>
      <c r="F22" s="134"/>
      <c r="G22" s="56" t="s">
        <v>450</v>
      </c>
    </row>
    <row r="23" customFormat="false" ht="12.8" hidden="false" customHeight="false" outlineLevel="0" collapsed="false">
      <c r="A23" s="63"/>
      <c r="B23" s="143" t="n">
        <v>0.375</v>
      </c>
      <c r="C23" s="145" t="s">
        <v>992</v>
      </c>
      <c r="D23" s="146" t="s">
        <v>1004</v>
      </c>
      <c r="E23" s="82" t="s">
        <v>1005</v>
      </c>
      <c r="F23" s="134"/>
      <c r="G23" s="56" t="s">
        <v>450</v>
      </c>
    </row>
    <row r="24" customFormat="false" ht="12.8" hidden="false" customHeight="false" outlineLevel="0" collapsed="false">
      <c r="A24" s="63"/>
      <c r="B24" s="143" t="n">
        <v>0.395833333333333</v>
      </c>
      <c r="C24" s="145" t="s">
        <v>992</v>
      </c>
      <c r="D24" s="146" t="s">
        <v>1004</v>
      </c>
      <c r="E24" s="82" t="s">
        <v>1006</v>
      </c>
      <c r="F24" s="134"/>
      <c r="G24" s="56" t="s">
        <v>450</v>
      </c>
    </row>
    <row r="25" customFormat="false" ht="12.8" hidden="false" customHeight="false" outlineLevel="0" collapsed="false">
      <c r="A25" s="63"/>
      <c r="B25" s="143" t="n">
        <v>0.416666666666667</v>
      </c>
      <c r="C25" s="145" t="s">
        <v>992</v>
      </c>
      <c r="D25" s="147" t="s">
        <v>1007</v>
      </c>
      <c r="E25" s="82" t="s">
        <v>1008</v>
      </c>
      <c r="F25" s="134"/>
      <c r="G25" s="56" t="s">
        <v>450</v>
      </c>
    </row>
    <row r="26" customFormat="false" ht="12.8" hidden="false" customHeight="false" outlineLevel="0" collapsed="false">
      <c r="A26" s="63"/>
      <c r="B26" s="143" t="n">
        <v>0.4375</v>
      </c>
      <c r="C26" s="145" t="s">
        <v>992</v>
      </c>
      <c r="D26" s="147" t="s">
        <v>1007</v>
      </c>
      <c r="E26" s="82" t="s">
        <v>1006</v>
      </c>
      <c r="F26" s="134"/>
      <c r="G26" s="56" t="s">
        <v>450</v>
      </c>
    </row>
    <row r="27" customFormat="false" ht="12.8" hidden="false" customHeight="false" outlineLevel="0" collapsed="false">
      <c r="A27" s="63"/>
      <c r="B27" s="143" t="n">
        <v>0.458333333333333</v>
      </c>
      <c r="C27" s="145" t="s">
        <v>992</v>
      </c>
      <c r="D27" s="146" t="s">
        <v>1004</v>
      </c>
      <c r="E27" s="82" t="s">
        <v>1008</v>
      </c>
      <c r="F27" s="134"/>
      <c r="G27" s="56" t="s">
        <v>450</v>
      </c>
    </row>
    <row r="28" customFormat="false" ht="12.8" hidden="false" customHeight="false" outlineLevel="0" collapsed="false">
      <c r="A28" s="63"/>
      <c r="B28" s="143" t="n">
        <v>0.479166666666667</v>
      </c>
      <c r="C28" s="145" t="s">
        <v>992</v>
      </c>
      <c r="D28" s="146" t="s">
        <v>1004</v>
      </c>
      <c r="E28" s="82" t="s">
        <v>1006</v>
      </c>
      <c r="F28" s="134"/>
      <c r="G28" s="56" t="s">
        <v>450</v>
      </c>
    </row>
    <row r="29" customFormat="false" ht="12.8" hidden="false" customHeight="false" outlineLevel="0" collapsed="false">
      <c r="A29" s="63"/>
      <c r="B29" s="143" t="n">
        <v>0.5</v>
      </c>
      <c r="C29" s="145" t="s">
        <v>992</v>
      </c>
      <c r="D29" s="121" t="s">
        <v>1009</v>
      </c>
      <c r="E29" s="82" t="s">
        <v>1010</v>
      </c>
      <c r="F29" s="134"/>
      <c r="G29" s="56" t="s">
        <v>450</v>
      </c>
    </row>
    <row r="30" customFormat="false" ht="12.8" hidden="false" customHeight="false" outlineLevel="0" collapsed="false">
      <c r="A30" s="63"/>
      <c r="B30" s="143" t="n">
        <v>0.520833333333333</v>
      </c>
      <c r="C30" s="145" t="s">
        <v>992</v>
      </c>
      <c r="D30" s="121" t="s">
        <v>1009</v>
      </c>
      <c r="E30" s="82" t="s">
        <v>1006</v>
      </c>
      <c r="F30" s="134"/>
      <c r="G30" s="56" t="s">
        <v>450</v>
      </c>
    </row>
    <row r="31" customFormat="false" ht="12.8" hidden="false" customHeight="false" outlineLevel="0" collapsed="false">
      <c r="A31" s="63"/>
      <c r="B31" s="143" t="n">
        <v>0.541666666666667</v>
      </c>
      <c r="C31" s="145" t="s">
        <v>992</v>
      </c>
      <c r="D31" s="121" t="s">
        <v>1011</v>
      </c>
      <c r="E31" s="82" t="s">
        <v>1012</v>
      </c>
      <c r="F31" s="134"/>
      <c r="G31" s="56" t="s">
        <v>450</v>
      </c>
    </row>
    <row r="32" customFormat="false" ht="12.8" hidden="false" customHeight="false" outlineLevel="0" collapsed="false">
      <c r="A32" s="63"/>
      <c r="B32" s="143" t="n">
        <v>0.5625</v>
      </c>
      <c r="C32" s="145" t="s">
        <v>992</v>
      </c>
      <c r="D32" s="121" t="s">
        <v>1011</v>
      </c>
      <c r="E32" s="82" t="s">
        <v>1006</v>
      </c>
      <c r="F32" s="134"/>
      <c r="G32" s="56" t="s">
        <v>450</v>
      </c>
    </row>
    <row r="33" customFormat="false" ht="12.8" hidden="false" customHeight="false" outlineLevel="0" collapsed="false">
      <c r="A33" s="63"/>
      <c r="B33" s="143" t="n">
        <v>0.583333333333333</v>
      </c>
      <c r="C33" s="145" t="s">
        <v>992</v>
      </c>
      <c r="D33" s="146" t="s">
        <v>1004</v>
      </c>
      <c r="E33" s="82" t="s">
        <v>1008</v>
      </c>
      <c r="F33" s="134"/>
      <c r="G33" s="56" t="s">
        <v>450</v>
      </c>
    </row>
    <row r="34" customFormat="false" ht="12.8" hidden="false" customHeight="false" outlineLevel="0" collapsed="false">
      <c r="A34" s="63"/>
      <c r="B34" s="143" t="n">
        <v>0.604166666666667</v>
      </c>
      <c r="C34" s="145" t="s">
        <v>992</v>
      </c>
      <c r="D34" s="146" t="s">
        <v>1004</v>
      </c>
      <c r="E34" s="82" t="s">
        <v>1006</v>
      </c>
      <c r="F34" s="134"/>
      <c r="G34" s="56" t="s">
        <v>450</v>
      </c>
    </row>
    <row r="35" customFormat="false" ht="12.8" hidden="false" customHeight="false" outlineLevel="0" collapsed="false">
      <c r="A35" s="63"/>
      <c r="B35" s="143" t="n">
        <v>0.625</v>
      </c>
      <c r="C35" s="145" t="s">
        <v>992</v>
      </c>
      <c r="D35" s="147" t="s">
        <v>1007</v>
      </c>
      <c r="E35" s="82" t="s">
        <v>1008</v>
      </c>
      <c r="F35" s="134"/>
      <c r="G35" s="56" t="s">
        <v>450</v>
      </c>
    </row>
    <row r="36" customFormat="false" ht="12.8" hidden="false" customHeight="false" outlineLevel="0" collapsed="false">
      <c r="A36" s="63"/>
      <c r="B36" s="143" t="n">
        <v>0.645833333333333</v>
      </c>
      <c r="C36" s="145" t="s">
        <v>992</v>
      </c>
      <c r="D36" s="147" t="s">
        <v>1007</v>
      </c>
      <c r="E36" s="82" t="s">
        <v>1006</v>
      </c>
      <c r="F36" s="134"/>
      <c r="G36" s="56" t="s">
        <v>450</v>
      </c>
    </row>
    <row r="37" customFormat="false" ht="12.8" hidden="false" customHeight="false" outlineLevel="0" collapsed="false">
      <c r="A37" s="63"/>
      <c r="B37" s="143" t="n">
        <v>0.666666666666667</v>
      </c>
      <c r="C37" s="145" t="s">
        <v>992</v>
      </c>
      <c r="D37" s="146" t="s">
        <v>1004</v>
      </c>
      <c r="E37" s="82" t="s">
        <v>1008</v>
      </c>
      <c r="F37" s="134"/>
      <c r="G37" s="56" t="s">
        <v>450</v>
      </c>
    </row>
    <row r="38" customFormat="false" ht="12.8" hidden="false" customHeight="false" outlineLevel="0" collapsed="false">
      <c r="A38" s="63"/>
      <c r="B38" s="143" t="n">
        <v>0.6875</v>
      </c>
      <c r="C38" s="145" t="s">
        <v>992</v>
      </c>
      <c r="D38" s="146" t="s">
        <v>1004</v>
      </c>
      <c r="E38" s="82" t="s">
        <v>1006</v>
      </c>
      <c r="F38" s="134"/>
      <c r="G38" s="56" t="s">
        <v>450</v>
      </c>
    </row>
    <row r="39" customFormat="false" ht="12.8" hidden="false" customHeight="false" outlineLevel="0" collapsed="false">
      <c r="A39" s="63"/>
      <c r="B39" s="143" t="n">
        <v>0.708333333333333</v>
      </c>
      <c r="C39" s="145" t="s">
        <v>992</v>
      </c>
      <c r="D39" s="147" t="s">
        <v>1007</v>
      </c>
      <c r="E39" s="82" t="s">
        <v>1008</v>
      </c>
      <c r="F39" s="134"/>
      <c r="G39" s="56" t="s">
        <v>450</v>
      </c>
    </row>
    <row r="40" customFormat="false" ht="12.8" hidden="false" customHeight="false" outlineLevel="0" collapsed="false">
      <c r="A40" s="63"/>
      <c r="B40" s="143" t="n">
        <v>0.729166666666667</v>
      </c>
      <c r="C40" s="145" t="s">
        <v>992</v>
      </c>
      <c r="D40" s="147" t="s">
        <v>1007</v>
      </c>
      <c r="E40" s="82" t="s">
        <v>1006</v>
      </c>
      <c r="F40" s="134"/>
      <c r="G40" s="56" t="s">
        <v>450</v>
      </c>
    </row>
    <row r="41" customFormat="false" ht="12.8" hidden="false" customHeight="false" outlineLevel="0" collapsed="false">
      <c r="A41" s="63"/>
      <c r="B41" s="143" t="n">
        <v>0.75</v>
      </c>
      <c r="C41" s="145" t="s">
        <v>992</v>
      </c>
      <c r="D41" s="121" t="s">
        <v>1011</v>
      </c>
      <c r="E41" s="82" t="s">
        <v>1013</v>
      </c>
      <c r="F41" s="134"/>
      <c r="G41" s="56" t="s">
        <v>450</v>
      </c>
    </row>
    <row r="42" customFormat="false" ht="12.8" hidden="false" customHeight="false" outlineLevel="0" collapsed="false">
      <c r="A42" s="63"/>
      <c r="B42" s="143" t="n">
        <v>0.770833333333333</v>
      </c>
      <c r="C42" s="145" t="s">
        <v>992</v>
      </c>
      <c r="D42" s="121" t="s">
        <v>993</v>
      </c>
      <c r="E42" s="82"/>
      <c r="F42" s="134"/>
      <c r="G42" s="56" t="s">
        <v>450</v>
      </c>
    </row>
    <row r="43" customFormat="false" ht="12.8" hidden="false" customHeight="false" outlineLevel="0" collapsed="false">
      <c r="A43" s="63"/>
      <c r="B43" s="143" t="n">
        <v>0.791666666666667</v>
      </c>
      <c r="C43" s="144" t="s">
        <v>985</v>
      </c>
      <c r="D43" s="121" t="s">
        <v>990</v>
      </c>
      <c r="E43" s="82"/>
      <c r="F43" s="134"/>
      <c r="G43" s="56" t="s">
        <v>450</v>
      </c>
    </row>
    <row r="44" customFormat="false" ht="12.8" hidden="false" customHeight="false" outlineLevel="0" collapsed="false">
      <c r="A44" s="63"/>
      <c r="B44" s="143" t="n">
        <v>0.8125</v>
      </c>
      <c r="C44" s="144" t="s">
        <v>985</v>
      </c>
      <c r="D44" s="121" t="s">
        <v>1014</v>
      </c>
      <c r="E44" s="82"/>
      <c r="F44" s="134"/>
      <c r="G44" s="56" t="s">
        <v>450</v>
      </c>
    </row>
    <row r="45" customFormat="false" ht="12.8" hidden="false" customHeight="false" outlineLevel="0" collapsed="false">
      <c r="A45" s="63"/>
      <c r="B45" s="143" t="n">
        <v>0.833333333333333</v>
      </c>
      <c r="C45" s="144" t="s">
        <v>985</v>
      </c>
      <c r="D45" s="121" t="s">
        <v>1015</v>
      </c>
      <c r="E45" s="82"/>
      <c r="F45" s="134"/>
      <c r="G45" s="56" t="s">
        <v>450</v>
      </c>
    </row>
    <row r="46" customFormat="false" ht="12.8" hidden="false" customHeight="false" outlineLevel="0" collapsed="false">
      <c r="A46" s="63"/>
      <c r="B46" s="143" t="n">
        <v>0.854166666666667</v>
      </c>
      <c r="C46" s="144" t="s">
        <v>985</v>
      </c>
      <c r="D46" s="121" t="s">
        <v>1016</v>
      </c>
      <c r="E46" s="82"/>
      <c r="F46" s="134"/>
      <c r="G46" s="56" t="s">
        <v>450</v>
      </c>
    </row>
    <row r="47" customFormat="false" ht="12.8" hidden="false" customHeight="false" outlineLevel="0" collapsed="false">
      <c r="A47" s="63"/>
      <c r="B47" s="143" t="n">
        <v>0.875</v>
      </c>
      <c r="C47" s="144" t="s">
        <v>985</v>
      </c>
      <c r="D47" s="121" t="s">
        <v>1016</v>
      </c>
      <c r="E47" s="82"/>
      <c r="F47" s="134"/>
      <c r="G47" s="56" t="s">
        <v>450</v>
      </c>
    </row>
    <row r="48" customFormat="false" ht="12.8" hidden="false" customHeight="false" outlineLevel="0" collapsed="false">
      <c r="A48" s="63"/>
      <c r="B48" s="143" t="n">
        <v>0.895833333333333</v>
      </c>
      <c r="C48" s="144" t="s">
        <v>985</v>
      </c>
      <c r="D48" s="121" t="s">
        <v>1016</v>
      </c>
      <c r="E48" s="82"/>
      <c r="F48" s="134"/>
      <c r="G48" s="56" t="s">
        <v>450</v>
      </c>
    </row>
    <row r="49" customFormat="false" ht="12.8" hidden="false" customHeight="false" outlineLevel="0" collapsed="false">
      <c r="A49" s="63"/>
      <c r="B49" s="143" t="n">
        <v>0.916666666666667</v>
      </c>
      <c r="C49" s="144" t="s">
        <v>985</v>
      </c>
      <c r="D49" s="121" t="s">
        <v>986</v>
      </c>
      <c r="E49" s="82"/>
      <c r="F49" s="134"/>
      <c r="G49" s="56" t="s">
        <v>450</v>
      </c>
    </row>
    <row r="50" customFormat="false" ht="12.8" hidden="false" customHeight="false" outlineLevel="0" collapsed="false">
      <c r="A50" s="63"/>
      <c r="B50" s="143" t="n">
        <v>0.9375</v>
      </c>
      <c r="C50" s="144" t="s">
        <v>985</v>
      </c>
      <c r="D50" s="121" t="s">
        <v>986</v>
      </c>
      <c r="E50" s="82"/>
      <c r="F50" s="134"/>
      <c r="G50" s="56" t="s">
        <v>450</v>
      </c>
    </row>
    <row r="51" customFormat="false" ht="12.8" hidden="false" customHeight="false" outlineLevel="0" collapsed="false">
      <c r="A51" s="63"/>
      <c r="B51" s="143" t="n">
        <v>0.958333333333333</v>
      </c>
      <c r="C51" s="144" t="s">
        <v>985</v>
      </c>
      <c r="D51" s="121" t="s">
        <v>986</v>
      </c>
      <c r="E51" s="82"/>
      <c r="F51" s="134"/>
      <c r="G51" s="56" t="s">
        <v>450</v>
      </c>
    </row>
    <row r="52" customFormat="false" ht="12.8" hidden="false" customHeight="false" outlineLevel="0" collapsed="false">
      <c r="A52" s="63"/>
      <c r="B52" s="143" t="n">
        <v>0.979166666666667</v>
      </c>
      <c r="C52" s="144" t="s">
        <v>985</v>
      </c>
      <c r="D52" s="121" t="s">
        <v>986</v>
      </c>
      <c r="E52" s="82"/>
      <c r="F52" s="134"/>
      <c r="G52" s="56" t="s">
        <v>450</v>
      </c>
    </row>
    <row r="53" customFormat="false" ht="12.8" hidden="false" customHeight="false" outlineLevel="0" collapsed="false">
      <c r="A53" s="63"/>
      <c r="B53" s="143" t="n">
        <v>1</v>
      </c>
      <c r="C53" s="144" t="s">
        <v>985</v>
      </c>
      <c r="D53" s="121" t="s">
        <v>986</v>
      </c>
      <c r="E53" s="82"/>
      <c r="F53" s="134"/>
      <c r="G53" s="56" t="s">
        <v>450</v>
      </c>
    </row>
    <row r="54" customFormat="false" ht="12.8" hidden="false" customHeight="false" outlineLevel="0" collapsed="false">
      <c r="A54" s="63"/>
      <c r="B54" s="143"/>
      <c r="C54" s="79"/>
      <c r="D54" s="121"/>
      <c r="E54" s="82"/>
      <c r="F54" s="134"/>
      <c r="G54" s="56" t="s">
        <v>450</v>
      </c>
    </row>
    <row r="55" customFormat="false" ht="12.8" hidden="false" customHeight="false" outlineLevel="0" collapsed="false">
      <c r="A55" s="63"/>
      <c r="B55" s="143"/>
      <c r="C55" s="79"/>
      <c r="D55" s="121"/>
      <c r="E55" s="82"/>
      <c r="F55" s="134"/>
      <c r="G55" s="56" t="s">
        <v>450</v>
      </c>
    </row>
  </sheetData>
  <autoFilter ref="A4:G55"/>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MJ37"/>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O16" activeCellId="0" sqref="O16"/>
    </sheetView>
  </sheetViews>
  <sheetFormatPr defaultColWidth="16.8046875" defaultRowHeight="12.8" zeroHeight="false" outlineLevelRow="1" outlineLevelCol="0"/>
  <cols>
    <col collapsed="false" customWidth="true" hidden="false" outlineLevel="0" max="1" min="1" style="0" width="3.05"/>
    <col collapsed="false" customWidth="true" hidden="false" outlineLevel="0" max="2" min="2" style="0" width="9.15"/>
    <col collapsed="false" customWidth="true" hidden="false" outlineLevel="0" max="3" min="3" style="0" width="5.24"/>
    <col collapsed="false" customWidth="true" hidden="false" outlineLevel="0" max="4" min="4" style="31" width="9.64"/>
    <col collapsed="false" customWidth="true" hidden="false" outlineLevel="0" max="5" min="5" style="31" width="8.17"/>
    <col collapsed="false" customWidth="true" hidden="false" outlineLevel="0" max="7" min="6" style="31" width="12.64"/>
    <col collapsed="false" customWidth="true" hidden="false" outlineLevel="0" max="8" min="8" style="31" width="9.87"/>
    <col collapsed="false" customWidth="true" hidden="false" outlineLevel="0" max="9" min="9" style="31" width="12.71"/>
    <col collapsed="false" customWidth="true" hidden="false" outlineLevel="0" max="13" min="10" style="31" width="10.31"/>
    <col collapsed="false" customWidth="true" hidden="false" outlineLevel="0" max="14" min="14" style="31" width="25.87"/>
    <col collapsed="false" customWidth="true" hidden="false" outlineLevel="0" max="15" min="15" style="31" width="15.21"/>
    <col collapsed="false" customWidth="true" hidden="false" outlineLevel="0" max="23" min="16" style="31" width="10.31"/>
    <col collapsed="false" customWidth="true" hidden="false" outlineLevel="0" max="24" min="24" style="31" width="16.18"/>
    <col collapsed="false" customWidth="true" hidden="false" outlineLevel="0" max="25" min="25" style="31" width="10.31"/>
    <col collapsed="false" customWidth="true" hidden="false" outlineLevel="0" max="26" min="26" style="31" width="15.2"/>
    <col collapsed="false" customWidth="true" hidden="false" outlineLevel="0" max="27" min="27" style="31" width="11.91"/>
    <col collapsed="false" customWidth="true" hidden="false" outlineLevel="0" max="28" min="28" style="31" width="15.85"/>
    <col collapsed="false" customWidth="true" hidden="false" outlineLevel="0" max="29" min="29" style="31" width="10.31"/>
    <col collapsed="false" customWidth="true" hidden="false" outlineLevel="0" max="30" min="30" style="31" width="13.89"/>
    <col collapsed="false" customWidth="true" hidden="false" outlineLevel="0" max="31" min="31" style="31" width="8.64"/>
    <col collapsed="false" customWidth="true" hidden="false" outlineLevel="0" max="32" min="32" style="31" width="14.05"/>
    <col collapsed="false" customWidth="true" hidden="false" outlineLevel="0" max="33" min="33" style="31" width="9.32"/>
    <col collapsed="false" customWidth="true" hidden="false" outlineLevel="0" max="34" min="34" style="31" width="9.87"/>
    <col collapsed="false" customWidth="true" hidden="false" outlineLevel="0" max="35" min="35" style="0" width="6.54"/>
    <col collapsed="false" customWidth="true" hidden="false" outlineLevel="0" max="36" min="36" style="0" width="3.79"/>
    <col collapsed="false" customWidth="true" hidden="false" outlineLevel="0" max="37" min="37" style="0" width="7.04"/>
    <col collapsed="false" customWidth="true" hidden="false" outlineLevel="0" max="38" min="38" style="0" width="4.02"/>
    <col collapsed="false" customWidth="true" hidden="false" outlineLevel="0" max="39" min="39" style="0" width="11.57"/>
    <col collapsed="false" customWidth="true" hidden="false" outlineLevel="0" max="40" min="40" style="0" width="14.62"/>
    <col collapsed="false" customWidth="true" hidden="false" outlineLevel="0" max="41" min="41" style="0" width="2.12"/>
    <col collapsed="false" customWidth="true" hidden="false" outlineLevel="0" max="1024" min="1024" style="0" width="11.52"/>
  </cols>
  <sheetData>
    <row r="1" s="151" customFormat="true" ht="47" hidden="false" customHeight="true" outlineLevel="1" collapsed="false">
      <c r="A1" s="148" t="s">
        <v>1017</v>
      </c>
      <c r="B1" s="148"/>
      <c r="C1" s="148"/>
      <c r="D1" s="149"/>
      <c r="E1" s="149"/>
      <c r="F1" s="149"/>
      <c r="G1" s="149" t="s">
        <v>1018</v>
      </c>
      <c r="H1" s="149" t="s">
        <v>1019</v>
      </c>
      <c r="I1" s="149" t="s">
        <v>1020</v>
      </c>
      <c r="J1" s="149" t="s">
        <v>1021</v>
      </c>
      <c r="K1" s="149" t="s">
        <v>1022</v>
      </c>
      <c r="L1" s="149"/>
      <c r="M1" s="149" t="s">
        <v>1023</v>
      </c>
      <c r="N1" s="149" t="s">
        <v>1023</v>
      </c>
      <c r="O1" s="149" t="s">
        <v>1023</v>
      </c>
      <c r="P1" s="149" t="s">
        <v>1023</v>
      </c>
      <c r="Q1" s="149" t="s">
        <v>1023</v>
      </c>
      <c r="R1" s="149" t="s">
        <v>1023</v>
      </c>
      <c r="S1" s="149" t="s">
        <v>1023</v>
      </c>
      <c r="T1" s="149" t="s">
        <v>1023</v>
      </c>
      <c r="U1" s="149" t="s">
        <v>1023</v>
      </c>
      <c r="V1" s="149" t="s">
        <v>1023</v>
      </c>
      <c r="W1" s="149" t="s">
        <v>1024</v>
      </c>
      <c r="X1" s="149" t="s">
        <v>1025</v>
      </c>
      <c r="Y1" s="149"/>
      <c r="Z1" s="149"/>
      <c r="AA1" s="149"/>
      <c r="AB1" s="149"/>
      <c r="AC1" s="149"/>
      <c r="AD1" s="149"/>
      <c r="AE1" s="149"/>
      <c r="AF1" s="149"/>
      <c r="AG1" s="149"/>
      <c r="AH1" s="149"/>
      <c r="AI1" s="148"/>
      <c r="AJ1" s="148"/>
      <c r="AK1" s="148"/>
      <c r="AL1" s="150"/>
      <c r="AM1" s="148"/>
      <c r="AN1" s="148" t="s">
        <v>1026</v>
      </c>
      <c r="AO1" s="148" t="s">
        <v>1027</v>
      </c>
      <c r="AME1" s="0"/>
      <c r="AMF1" s="0"/>
      <c r="AMG1" s="0"/>
      <c r="AMH1" s="0"/>
      <c r="AMI1" s="0"/>
      <c r="AMJ1" s="0"/>
    </row>
    <row r="2" s="155" customFormat="true" ht="12.8" hidden="false" customHeight="false" outlineLevel="1" collapsed="false">
      <c r="A2" s="152"/>
      <c r="B2" s="152"/>
      <c r="C2" s="152"/>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2"/>
      <c r="AJ2" s="152"/>
      <c r="AK2" s="152"/>
      <c r="AL2" s="154"/>
      <c r="AM2" s="152"/>
      <c r="AN2" s="152"/>
      <c r="AO2" s="152"/>
      <c r="AME2" s="0"/>
      <c r="AMF2" s="0"/>
      <c r="AMG2" s="0"/>
      <c r="AMH2" s="0"/>
      <c r="AMI2" s="0"/>
      <c r="AMJ2" s="0"/>
    </row>
    <row r="3" s="155" customFormat="true" ht="48.7" hidden="false" customHeight="false" outlineLevel="0" collapsed="false">
      <c r="A3" s="156" t="s">
        <v>394</v>
      </c>
      <c r="B3" s="156" t="s">
        <v>1028</v>
      </c>
      <c r="C3" s="156" t="s">
        <v>1029</v>
      </c>
      <c r="D3" s="157" t="s">
        <v>627</v>
      </c>
      <c r="E3" s="157" t="s">
        <v>1030</v>
      </c>
      <c r="F3" s="157" t="s">
        <v>336</v>
      </c>
      <c r="G3" s="157" t="s">
        <v>1031</v>
      </c>
      <c r="H3" s="157" t="s">
        <v>1032</v>
      </c>
      <c r="I3" s="157" t="s">
        <v>1033</v>
      </c>
      <c r="J3" s="157" t="s">
        <v>1034</v>
      </c>
      <c r="K3" s="157" t="s">
        <v>1035</v>
      </c>
      <c r="L3" s="157" t="s">
        <v>1036</v>
      </c>
      <c r="M3" s="157" t="s">
        <v>1037</v>
      </c>
      <c r="N3" s="157" t="s">
        <v>1037</v>
      </c>
      <c r="O3" s="157" t="s">
        <v>1037</v>
      </c>
      <c r="P3" s="157" t="s">
        <v>1037</v>
      </c>
      <c r="Q3" s="157" t="s">
        <v>1038</v>
      </c>
      <c r="R3" s="157" t="s">
        <v>1038</v>
      </c>
      <c r="S3" s="157" t="s">
        <v>1038</v>
      </c>
      <c r="T3" s="157" t="s">
        <v>1038</v>
      </c>
      <c r="U3" s="157" t="s">
        <v>1038</v>
      </c>
      <c r="V3" s="157" t="s">
        <v>1038</v>
      </c>
      <c r="W3" s="157" t="s">
        <v>958</v>
      </c>
      <c r="X3" s="157" t="s">
        <v>959</v>
      </c>
      <c r="Y3" s="157" t="s">
        <v>967</v>
      </c>
      <c r="Z3" s="157" t="s">
        <v>968</v>
      </c>
      <c r="AA3" s="157" t="s">
        <v>974</v>
      </c>
      <c r="AB3" s="157" t="s">
        <v>975</v>
      </c>
      <c r="AC3" s="157" t="s">
        <v>940</v>
      </c>
      <c r="AD3" s="157" t="s">
        <v>941</v>
      </c>
      <c r="AE3" s="157" t="s">
        <v>903</v>
      </c>
      <c r="AF3" s="157" t="s">
        <v>1039</v>
      </c>
      <c r="AG3" s="157" t="s">
        <v>871</v>
      </c>
      <c r="AH3" s="157" t="s">
        <v>1040</v>
      </c>
      <c r="AI3" s="156" t="s">
        <v>1041</v>
      </c>
      <c r="AJ3" s="156" t="s">
        <v>1042</v>
      </c>
      <c r="AK3" s="156" t="s">
        <v>1043</v>
      </c>
      <c r="AL3" s="158" t="s">
        <v>1042</v>
      </c>
      <c r="AM3" s="156" t="s">
        <v>1044</v>
      </c>
      <c r="AN3" s="156" t="s">
        <v>1045</v>
      </c>
      <c r="AO3" s="156" t="s">
        <v>442</v>
      </c>
      <c r="AME3" s="0"/>
      <c r="AMF3" s="0"/>
      <c r="AMG3" s="0"/>
      <c r="AMH3" s="0"/>
      <c r="AMI3" s="0"/>
      <c r="AMJ3" s="0"/>
    </row>
    <row r="4" s="155" customFormat="true" ht="8.2" hidden="false" customHeight="true" outlineLevel="0" collapsed="false">
      <c r="A4" s="159" t="str">
        <f aca="false">A3</f>
        <v>A</v>
      </c>
      <c r="B4" s="159" t="str">
        <f aca="false">B3</f>
        <v>Status Value</v>
      </c>
      <c r="C4" s="159" t="str">
        <f aca="false">C3</f>
        <v>Level</v>
      </c>
      <c r="D4" s="159" t="str">
        <f aca="false">D3</f>
        <v>Planning Type</v>
      </c>
      <c r="E4" s="159" t="str">
        <f aca="false">E3</f>
        <v>Run / Change</v>
      </c>
      <c r="F4" s="159" t="str">
        <f aca="false">F3</f>
        <v>Lvl</v>
      </c>
      <c r="G4" s="159" t="str">
        <f aca="false">G3</f>
        <v>Periodicity</v>
      </c>
      <c r="H4" s="159" t="str">
        <f aca="false">H3</f>
        <v>Periodicity Priority</v>
      </c>
      <c r="I4" s="159"/>
      <c r="J4" s="159"/>
      <c r="K4" s="159"/>
      <c r="L4" s="159" t="str">
        <f aca="false">L3</f>
        <v>Tracking Type  Reporting Eligibility</v>
      </c>
      <c r="M4" s="159" t="str">
        <f aca="false">M3</f>
        <v>Run Goal + Sub-Goals</v>
      </c>
      <c r="N4" s="159" t="str">
        <f aca="false">N3</f>
        <v>Run Goal + Sub-Goals</v>
      </c>
      <c r="O4" s="159" t="str">
        <f aca="false">O3</f>
        <v>Run Goal + Sub-Goals</v>
      </c>
      <c r="P4" s="159" t="str">
        <f aca="false">P3</f>
        <v>Run Goal + Sub-Goals</v>
      </c>
      <c r="Q4" s="159" t="str">
        <f aca="false">Q3</f>
        <v>Change Goal + Sub-Goals</v>
      </c>
      <c r="R4" s="159" t="str">
        <f aca="false">R3</f>
        <v>Change Goal + Sub-Goals</v>
      </c>
      <c r="S4" s="159" t="str">
        <f aca="false">S3</f>
        <v>Change Goal + Sub-Goals</v>
      </c>
      <c r="T4" s="159" t="str">
        <f aca="false">T3</f>
        <v>Change Goal + Sub-Goals</v>
      </c>
      <c r="U4" s="159" t="str">
        <f aca="false">U3</f>
        <v>Change Goal + Sub-Goals</v>
      </c>
      <c r="V4" s="159" t="str">
        <f aca="false">V3</f>
        <v>Change Goal + Sub-Goals</v>
      </c>
      <c r="W4" s="159" t="str">
        <f aca="false">W3</f>
        <v>Service Type</v>
      </c>
      <c r="X4" s="159" t="str">
        <f aca="false">X3</f>
        <v>Service Category</v>
      </c>
      <c r="Y4" s="159" t="str">
        <f aca="false">Y3</f>
        <v>Client Type</v>
      </c>
      <c r="Z4" s="159" t="str">
        <f aca="false">Z3</f>
        <v>Client Category</v>
      </c>
      <c r="AA4" s="159"/>
      <c r="AB4" s="159"/>
      <c r="AC4" s="159" t="str">
        <f aca="false">AC3</f>
        <v>Supplier Type</v>
      </c>
      <c r="AD4" s="159" t="str">
        <f aca="false">AD3</f>
        <v>Supplier Category</v>
      </c>
      <c r="AE4" s="159" t="str">
        <f aca="false">AE3</f>
        <v>Asset Type</v>
      </c>
      <c r="AF4" s="159" t="str">
        <f aca="false">AF3</f>
        <v>Asset Category</v>
      </c>
      <c r="AG4" s="159" t="str">
        <f aca="false">AG3</f>
        <v>Staff Type</v>
      </c>
      <c r="AH4" s="159" t="str">
        <f aca="false">AH3</f>
        <v>Staff Category</v>
      </c>
      <c r="AI4" s="159" t="str">
        <f aca="false">AI3</f>
        <v>Y/N</v>
      </c>
      <c r="AJ4" s="159" t="str">
        <f aca="false">AJ3</f>
        <v>Nr</v>
      </c>
      <c r="AK4" s="159" t="str">
        <f aca="false">AK3</f>
        <v>Month</v>
      </c>
      <c r="AL4" s="159" t="str">
        <f aca="false">AL3</f>
        <v>Nr</v>
      </c>
      <c r="AM4" s="159" t="str">
        <f aca="false">AM3</f>
        <v>Weekday</v>
      </c>
      <c r="AN4" s="159" t="str">
        <f aca="false">AN3</f>
        <v>Supervisory 6</v>
      </c>
      <c r="AO4" s="159" t="str">
        <f aca="false">AO3</f>
        <v>Z</v>
      </c>
      <c r="AME4" s="0"/>
      <c r="AMF4" s="0"/>
      <c r="AMG4" s="0"/>
      <c r="AMH4" s="0"/>
      <c r="AMI4" s="0"/>
      <c r="AMJ4" s="0"/>
    </row>
    <row r="5" customFormat="false" ht="12.8" hidden="false" customHeight="false" outlineLevel="0" collapsed="false">
      <c r="B5" s="0" t="s">
        <v>1046</v>
      </c>
      <c r="C5" s="0" t="n">
        <v>3</v>
      </c>
      <c r="D5" s="31" t="s">
        <v>759</v>
      </c>
      <c r="E5" s="31" t="s">
        <v>1047</v>
      </c>
      <c r="F5" s="31" t="n">
        <v>10000000</v>
      </c>
      <c r="G5" s="31" t="s">
        <v>25</v>
      </c>
      <c r="H5" s="31" t="s">
        <v>25</v>
      </c>
      <c r="I5" s="31" t="s">
        <v>547</v>
      </c>
      <c r="J5" s="31" t="s">
        <v>1048</v>
      </c>
      <c r="K5" s="31" t="s">
        <v>1049</v>
      </c>
      <c r="L5" s="31" t="s">
        <v>1050</v>
      </c>
      <c r="M5" s="31" t="s">
        <v>447</v>
      </c>
      <c r="N5" s="31" t="s">
        <v>647</v>
      </c>
      <c r="O5" s="31" t="s">
        <v>828</v>
      </c>
      <c r="P5" s="31" t="s">
        <v>824</v>
      </c>
      <c r="Q5" s="31" t="s">
        <v>767</v>
      </c>
      <c r="R5" s="31" t="s">
        <v>1051</v>
      </c>
      <c r="S5" s="31" t="s">
        <v>772</v>
      </c>
      <c r="T5" s="31" t="s">
        <v>1052</v>
      </c>
      <c r="U5" s="31" t="s">
        <v>1053</v>
      </c>
      <c r="V5" s="160" t="s">
        <v>1054</v>
      </c>
      <c r="W5" s="31" t="s">
        <v>960</v>
      </c>
      <c r="X5" s="31" t="s">
        <v>1055</v>
      </c>
      <c r="Y5" s="31" t="s">
        <v>888</v>
      </c>
      <c r="Z5" s="31" t="s">
        <v>1056</v>
      </c>
      <c r="AA5" s="31" t="s">
        <v>888</v>
      </c>
      <c r="AB5" s="31" t="s">
        <v>1057</v>
      </c>
      <c r="AC5" s="31" t="s">
        <v>888</v>
      </c>
      <c r="AD5" s="31" t="s">
        <v>911</v>
      </c>
      <c r="AE5" s="31" t="s">
        <v>888</v>
      </c>
      <c r="AF5" s="31" t="s">
        <v>928</v>
      </c>
      <c r="AG5" s="31" t="s">
        <v>888</v>
      </c>
      <c r="AH5" s="31" t="s">
        <v>1058</v>
      </c>
      <c r="AI5" s="0" t="s">
        <v>25</v>
      </c>
      <c r="AJ5" s="0" t="n">
        <v>1</v>
      </c>
      <c r="AK5" s="0" t="s">
        <v>805</v>
      </c>
      <c r="AL5" s="0" t="n">
        <v>1</v>
      </c>
      <c r="AM5" s="0" t="s">
        <v>1059</v>
      </c>
      <c r="AN5" s="0" t="s">
        <v>1060</v>
      </c>
      <c r="AO5" s="0" t="s">
        <v>450</v>
      </c>
    </row>
    <row r="6" customFormat="false" ht="12.8" hidden="false" customHeight="false" outlineLevel="0" collapsed="false">
      <c r="B6" s="0" t="s">
        <v>1061</v>
      </c>
      <c r="C6" s="0" t="n">
        <v>3</v>
      </c>
      <c r="D6" s="31" t="s">
        <v>632</v>
      </c>
      <c r="E6" s="31" t="s">
        <v>1047</v>
      </c>
      <c r="F6" s="31" t="n">
        <v>11100000</v>
      </c>
      <c r="G6" s="31" t="s">
        <v>635</v>
      </c>
      <c r="H6" s="31" t="n">
        <v>0</v>
      </c>
      <c r="I6" s="31" t="s">
        <v>781</v>
      </c>
      <c r="J6" s="31" t="s">
        <v>1048</v>
      </c>
      <c r="K6" s="31" t="s">
        <v>1062</v>
      </c>
      <c r="L6" s="31" t="s">
        <v>1050</v>
      </c>
      <c r="M6" s="31" t="s">
        <v>1063</v>
      </c>
      <c r="N6" s="31" t="s">
        <v>1064</v>
      </c>
      <c r="O6" s="31" t="s">
        <v>1065</v>
      </c>
      <c r="P6" s="31" t="s">
        <v>1066</v>
      </c>
      <c r="Q6" s="31" t="s">
        <v>1067</v>
      </c>
      <c r="R6" s="31" t="s">
        <v>1068</v>
      </c>
      <c r="S6" s="31" t="s">
        <v>773</v>
      </c>
      <c r="T6" s="31" t="s">
        <v>1069</v>
      </c>
      <c r="U6" s="31" t="s">
        <v>1070</v>
      </c>
      <c r="V6" s="31" t="s">
        <v>1071</v>
      </c>
      <c r="W6" s="31" t="s">
        <v>1072</v>
      </c>
      <c r="X6" s="31" t="s">
        <v>1073</v>
      </c>
      <c r="Y6" s="31" t="s">
        <v>907</v>
      </c>
      <c r="Z6" s="31" t="s">
        <v>1074</v>
      </c>
      <c r="AA6" s="31" t="s">
        <v>907</v>
      </c>
      <c r="AB6" s="31" t="s">
        <v>1075</v>
      </c>
      <c r="AC6" s="31" t="s">
        <v>907</v>
      </c>
      <c r="AD6" s="31" t="s">
        <v>950</v>
      </c>
      <c r="AE6" s="31" t="s">
        <v>907</v>
      </c>
      <c r="AF6" s="31" t="s">
        <v>1076</v>
      </c>
      <c r="AG6" s="31" t="s">
        <v>907</v>
      </c>
      <c r="AH6" s="31" t="s">
        <v>1077</v>
      </c>
      <c r="AI6" s="0" t="s">
        <v>1050</v>
      </c>
      <c r="AJ6" s="0" t="n">
        <v>2</v>
      </c>
      <c r="AK6" s="0" t="s">
        <v>806</v>
      </c>
      <c r="AL6" s="0" t="n">
        <v>2</v>
      </c>
      <c r="AM6" s="0" t="s">
        <v>1078</v>
      </c>
      <c r="AN6" s="0" t="s">
        <v>1079</v>
      </c>
      <c r="AO6" s="0" t="s">
        <v>450</v>
      </c>
    </row>
    <row r="7" customFormat="false" ht="12.8" hidden="false" customHeight="false" outlineLevel="0" collapsed="false">
      <c r="B7" s="0" t="s">
        <v>1080</v>
      </c>
      <c r="C7" s="0" t="n">
        <v>3</v>
      </c>
      <c r="D7" s="31" t="s">
        <v>834</v>
      </c>
      <c r="E7" s="31" t="s">
        <v>1047</v>
      </c>
      <c r="F7" s="31" t="n">
        <v>11110000</v>
      </c>
      <c r="G7" s="31" t="s">
        <v>643</v>
      </c>
      <c r="H7" s="31" t="n">
        <v>1</v>
      </c>
      <c r="I7" s="31" t="s">
        <v>1081</v>
      </c>
      <c r="J7" s="31" t="s">
        <v>1048</v>
      </c>
      <c r="K7" s="31" t="s">
        <v>1082</v>
      </c>
      <c r="L7" s="31" t="s">
        <v>1050</v>
      </c>
      <c r="M7" s="31" t="s">
        <v>1083</v>
      </c>
      <c r="N7" s="31" t="s">
        <v>1084</v>
      </c>
      <c r="O7" s="31" t="s">
        <v>1085</v>
      </c>
      <c r="P7" s="31" t="s">
        <v>1086</v>
      </c>
      <c r="Q7" s="31" t="s">
        <v>768</v>
      </c>
      <c r="R7" s="31" t="s">
        <v>1087</v>
      </c>
      <c r="S7" s="31" t="s">
        <v>1088</v>
      </c>
      <c r="T7" s="31" t="s">
        <v>1089</v>
      </c>
      <c r="U7" s="31" t="s">
        <v>1090</v>
      </c>
      <c r="V7" s="31" t="s">
        <v>1091</v>
      </c>
      <c r="X7" s="31" t="s">
        <v>1092</v>
      </c>
      <c r="Z7" s="31" t="s">
        <v>1093</v>
      </c>
      <c r="AB7" s="31" t="s">
        <v>1094</v>
      </c>
      <c r="AD7" s="31" t="s">
        <v>1056</v>
      </c>
      <c r="AF7" s="31" t="s">
        <v>911</v>
      </c>
      <c r="AH7" s="31" t="s">
        <v>1095</v>
      </c>
      <c r="AI7" s="0" t="s">
        <v>1048</v>
      </c>
      <c r="AJ7" s="0" t="n">
        <v>3</v>
      </c>
      <c r="AK7" s="0" t="s">
        <v>807</v>
      </c>
      <c r="AL7" s="0" t="n">
        <v>3</v>
      </c>
      <c r="AM7" s="0" t="s">
        <v>1096</v>
      </c>
      <c r="AN7" s="0" t="s">
        <v>1097</v>
      </c>
      <c r="AO7" s="0" t="s">
        <v>450</v>
      </c>
    </row>
    <row r="8" customFormat="false" ht="12.8" hidden="false" customHeight="false" outlineLevel="0" collapsed="false">
      <c r="B8" s="0" t="s">
        <v>1098</v>
      </c>
      <c r="C8" s="0" t="n">
        <v>3</v>
      </c>
      <c r="D8" s="31" t="s">
        <v>837</v>
      </c>
      <c r="E8" s="31" t="s">
        <v>1047</v>
      </c>
      <c r="F8" s="31" t="n">
        <v>11111000</v>
      </c>
      <c r="G8" s="31" t="s">
        <v>639</v>
      </c>
      <c r="H8" s="31" t="n">
        <v>2</v>
      </c>
      <c r="I8" s="31" t="s">
        <v>549</v>
      </c>
      <c r="J8" s="31" t="s">
        <v>1048</v>
      </c>
      <c r="K8" s="31" t="s">
        <v>1099</v>
      </c>
      <c r="L8" s="31" t="s">
        <v>1050</v>
      </c>
      <c r="M8" s="31" t="s">
        <v>1100</v>
      </c>
      <c r="N8" s="31" t="s">
        <v>1101</v>
      </c>
      <c r="O8" s="31" t="s">
        <v>1102</v>
      </c>
      <c r="P8" s="31" t="s">
        <v>1103</v>
      </c>
      <c r="Q8" s="31" t="s">
        <v>1104</v>
      </c>
      <c r="R8" s="31" t="s">
        <v>1105</v>
      </c>
      <c r="S8" s="31" t="s">
        <v>1106</v>
      </c>
      <c r="T8" s="31" t="s">
        <v>1107</v>
      </c>
      <c r="U8" s="31" t="s">
        <v>1108</v>
      </c>
      <c r="V8" s="31" t="s">
        <v>1109</v>
      </c>
      <c r="X8" s="31" t="s">
        <v>1110</v>
      </c>
      <c r="Z8" s="31" t="s">
        <v>1111</v>
      </c>
      <c r="AB8" s="31" t="s">
        <v>1112</v>
      </c>
      <c r="AD8" s="31" t="s">
        <v>1113</v>
      </c>
      <c r="AF8" s="31" t="s">
        <v>1114</v>
      </c>
      <c r="AH8" s="31" t="s">
        <v>1115</v>
      </c>
      <c r="AJ8" s="0" t="n">
        <v>4</v>
      </c>
      <c r="AK8" s="0" t="s">
        <v>808</v>
      </c>
      <c r="AL8" s="0" t="n">
        <v>4</v>
      </c>
      <c r="AM8" s="0" t="s">
        <v>1116</v>
      </c>
      <c r="AN8" s="0" t="s">
        <v>1117</v>
      </c>
      <c r="AO8" s="0" t="s">
        <v>450</v>
      </c>
    </row>
    <row r="9" customFormat="false" ht="12.8" hidden="false" customHeight="false" outlineLevel="0" collapsed="false">
      <c r="B9" s="0" t="s">
        <v>1118</v>
      </c>
      <c r="C9" s="0" t="n">
        <v>3</v>
      </c>
      <c r="D9" s="31" t="s">
        <v>764</v>
      </c>
      <c r="E9" s="31" t="s">
        <v>1119</v>
      </c>
      <c r="F9" s="31" t="n">
        <v>12100000</v>
      </c>
      <c r="G9" s="31" t="s">
        <v>1120</v>
      </c>
      <c r="H9" s="31" t="n">
        <v>3</v>
      </c>
      <c r="I9" s="31" t="s">
        <v>443</v>
      </c>
      <c r="J9" s="31" t="s">
        <v>1050</v>
      </c>
      <c r="K9" s="31" t="s">
        <v>394</v>
      </c>
      <c r="L9" s="31" t="s">
        <v>1050</v>
      </c>
      <c r="M9" s="31" t="s">
        <v>1121</v>
      </c>
      <c r="N9" s="31" t="s">
        <v>1122</v>
      </c>
      <c r="O9" s="31" t="s">
        <v>1123</v>
      </c>
      <c r="P9" s="31" t="s">
        <v>1124</v>
      </c>
      <c r="Q9" s="31" t="s">
        <v>1125</v>
      </c>
      <c r="R9" s="31" t="s">
        <v>1126</v>
      </c>
      <c r="S9" s="31" t="s">
        <v>1127</v>
      </c>
      <c r="T9" s="31" t="s">
        <v>1128</v>
      </c>
      <c r="U9" s="31" t="s">
        <v>1129</v>
      </c>
      <c r="V9" s="31" t="s">
        <v>1130</v>
      </c>
      <c r="X9" s="31" t="s">
        <v>1131</v>
      </c>
      <c r="Z9" s="31" t="s">
        <v>976</v>
      </c>
      <c r="AB9" s="31" t="s">
        <v>1132</v>
      </c>
      <c r="AD9" s="31" t="s">
        <v>1133</v>
      </c>
      <c r="AF9" s="31" t="s">
        <v>1134</v>
      </c>
      <c r="AH9" s="31" t="s">
        <v>1135</v>
      </c>
      <c r="AJ9" s="0" t="n">
        <v>5</v>
      </c>
      <c r="AK9" s="0" t="s">
        <v>809</v>
      </c>
      <c r="AL9" s="0" t="n">
        <v>5</v>
      </c>
      <c r="AM9" s="0" t="s">
        <v>1136</v>
      </c>
      <c r="AN9" s="0" t="s">
        <v>1137</v>
      </c>
      <c r="AO9" s="0" t="s">
        <v>450</v>
      </c>
    </row>
    <row r="10" customFormat="false" ht="12.8" hidden="false" customHeight="false" outlineLevel="0" collapsed="false">
      <c r="B10" s="0" t="s">
        <v>632</v>
      </c>
      <c r="C10" s="0" t="n">
        <v>3</v>
      </c>
      <c r="D10" s="31" t="s">
        <v>769</v>
      </c>
      <c r="E10" s="31" t="s">
        <v>1119</v>
      </c>
      <c r="F10" s="31" t="n">
        <v>12110000</v>
      </c>
      <c r="G10" s="31" t="s">
        <v>1138</v>
      </c>
      <c r="H10" s="31" t="n">
        <v>4</v>
      </c>
      <c r="I10" s="31" t="s">
        <v>1007</v>
      </c>
      <c r="J10" s="31" t="s">
        <v>1048</v>
      </c>
      <c r="K10" s="31" t="s">
        <v>1139</v>
      </c>
      <c r="L10" s="31" t="s">
        <v>1050</v>
      </c>
      <c r="M10" s="31" t="s">
        <v>636</v>
      </c>
      <c r="N10" s="31" t="s">
        <v>1140</v>
      </c>
      <c r="O10" s="31" t="s">
        <v>1141</v>
      </c>
      <c r="P10" s="31" t="s">
        <v>1142</v>
      </c>
      <c r="Q10" s="31" t="s">
        <v>1143</v>
      </c>
      <c r="R10" s="31" t="s">
        <v>1144</v>
      </c>
      <c r="S10" s="31" t="s">
        <v>1145</v>
      </c>
      <c r="T10" s="31" t="s">
        <v>1146</v>
      </c>
      <c r="U10" s="31" t="s">
        <v>1147</v>
      </c>
      <c r="V10" s="31" t="s">
        <v>1148</v>
      </c>
      <c r="AB10" s="31" t="s">
        <v>1149</v>
      </c>
      <c r="AD10" s="31" t="s">
        <v>1150</v>
      </c>
      <c r="AH10" s="31" t="s">
        <v>1151</v>
      </c>
      <c r="AJ10" s="0" t="n">
        <v>6</v>
      </c>
      <c r="AK10" s="0" t="s">
        <v>810</v>
      </c>
      <c r="AL10" s="0" t="n">
        <v>6</v>
      </c>
      <c r="AM10" s="0" t="s">
        <v>1152</v>
      </c>
      <c r="AN10" s="0" t="s">
        <v>1153</v>
      </c>
      <c r="AO10" s="0" t="s">
        <v>450</v>
      </c>
    </row>
    <row r="11" customFormat="false" ht="12.8" hidden="false" customHeight="false" outlineLevel="0" collapsed="false">
      <c r="B11" s="0" t="s">
        <v>431</v>
      </c>
      <c r="C11" s="0" t="n">
        <v>2</v>
      </c>
      <c r="D11" s="31" t="s">
        <v>774</v>
      </c>
      <c r="E11" s="31" t="s">
        <v>1119</v>
      </c>
      <c r="F11" s="31" t="n">
        <v>12111000</v>
      </c>
      <c r="G11" s="31" t="s">
        <v>1154</v>
      </c>
      <c r="H11" s="31" t="n">
        <v>5</v>
      </c>
      <c r="I11" s="31" t="s">
        <v>976</v>
      </c>
      <c r="J11" s="31" t="s">
        <v>1048</v>
      </c>
      <c r="K11" s="31" t="s">
        <v>1050</v>
      </c>
      <c r="L11" s="31" t="s">
        <v>1048</v>
      </c>
      <c r="M11" s="31" t="s">
        <v>1155</v>
      </c>
      <c r="N11" s="31" t="s">
        <v>1156</v>
      </c>
      <c r="P11" s="31" t="s">
        <v>1157</v>
      </c>
      <c r="Q11" s="31" t="s">
        <v>1158</v>
      </c>
      <c r="R11" s="31" t="s">
        <v>1159</v>
      </c>
      <c r="S11" s="31" t="s">
        <v>1160</v>
      </c>
      <c r="T11" s="31" t="s">
        <v>1161</v>
      </c>
      <c r="U11" s="31" t="s">
        <v>1162</v>
      </c>
      <c r="V11" s="31" t="s">
        <v>1163</v>
      </c>
      <c r="AB11" s="31" t="s">
        <v>1164</v>
      </c>
      <c r="AD11" s="31" t="s">
        <v>1165</v>
      </c>
      <c r="AH11" s="31" t="s">
        <v>1166</v>
      </c>
      <c r="AJ11" s="0" t="n">
        <v>7</v>
      </c>
      <c r="AK11" s="0" t="s">
        <v>811</v>
      </c>
      <c r="AL11" s="0" t="n">
        <v>7</v>
      </c>
      <c r="AM11" s="0" t="s">
        <v>1167</v>
      </c>
      <c r="AN11" s="0" t="s">
        <v>1168</v>
      </c>
      <c r="AO11" s="0" t="s">
        <v>450</v>
      </c>
    </row>
    <row r="12" customFormat="false" ht="12.8" hidden="false" customHeight="false" outlineLevel="0" collapsed="false">
      <c r="G12" s="31" t="s">
        <v>1169</v>
      </c>
      <c r="H12" s="31" t="n">
        <v>6</v>
      </c>
      <c r="I12" s="31" t="s">
        <v>1170</v>
      </c>
      <c r="J12" s="31" t="s">
        <v>1048</v>
      </c>
      <c r="K12" s="31" t="s">
        <v>1171</v>
      </c>
      <c r="L12" s="31" t="s">
        <v>1048</v>
      </c>
      <c r="N12" s="31" t="s">
        <v>1172</v>
      </c>
      <c r="Q12" s="31" t="s">
        <v>1173</v>
      </c>
      <c r="R12" s="31" t="s">
        <v>1174</v>
      </c>
      <c r="S12" s="31" t="s">
        <v>1175</v>
      </c>
      <c r="T12" s="31" t="s">
        <v>1176</v>
      </c>
      <c r="U12" s="31" t="s">
        <v>1177</v>
      </c>
      <c r="V12" s="31" t="s">
        <v>1178</v>
      </c>
      <c r="AB12" s="31" t="s">
        <v>1179</v>
      </c>
      <c r="AD12" s="31" t="s">
        <v>1180</v>
      </c>
      <c r="AH12" s="31" t="s">
        <v>891</v>
      </c>
      <c r="AJ12" s="0" t="n">
        <v>8</v>
      </c>
      <c r="AK12" s="0" t="s">
        <v>812</v>
      </c>
      <c r="AO12" s="0" t="s">
        <v>450</v>
      </c>
    </row>
    <row r="13" customFormat="false" ht="12.8" hidden="false" customHeight="false" outlineLevel="0" collapsed="false">
      <c r="G13" s="31" t="s">
        <v>1181</v>
      </c>
      <c r="H13" s="31" t="n">
        <v>7</v>
      </c>
      <c r="I13" s="31" t="s">
        <v>764</v>
      </c>
      <c r="J13" s="31" t="s">
        <v>1048</v>
      </c>
      <c r="K13" s="31" t="s">
        <v>1182</v>
      </c>
      <c r="L13" s="31" t="s">
        <v>1050</v>
      </c>
      <c r="N13" s="31" t="s">
        <v>1183</v>
      </c>
      <c r="Q13" s="31" t="s">
        <v>1184</v>
      </c>
      <c r="R13" s="31" t="s">
        <v>1185</v>
      </c>
      <c r="S13" s="31" t="s">
        <v>1186</v>
      </c>
      <c r="T13" s="31" t="s">
        <v>1187</v>
      </c>
      <c r="U13" s="31" t="s">
        <v>1188</v>
      </c>
      <c r="V13" s="31" t="s">
        <v>1189</v>
      </c>
      <c r="AB13" s="31" t="s">
        <v>1190</v>
      </c>
      <c r="AH13" s="31" t="s">
        <v>1191</v>
      </c>
      <c r="AJ13" s="0" t="n">
        <v>9</v>
      </c>
      <c r="AK13" s="0" t="s">
        <v>813</v>
      </c>
      <c r="AO13" s="0" t="s">
        <v>450</v>
      </c>
    </row>
    <row r="14" customFormat="false" ht="12.8" hidden="false" customHeight="false" outlineLevel="0" collapsed="false">
      <c r="G14" s="31" t="s">
        <v>1192</v>
      </c>
      <c r="H14" s="31" t="n">
        <v>8</v>
      </c>
      <c r="I14" s="31" t="s">
        <v>632</v>
      </c>
      <c r="J14" s="31" t="s">
        <v>1050</v>
      </c>
      <c r="K14" s="31" t="s">
        <v>1193</v>
      </c>
      <c r="L14" s="31" t="s">
        <v>1050</v>
      </c>
      <c r="N14" s="31" t="s">
        <v>1194</v>
      </c>
      <c r="Q14" s="31" t="s">
        <v>1195</v>
      </c>
      <c r="R14" s="31" t="s">
        <v>1196</v>
      </c>
      <c r="S14" s="31" t="s">
        <v>1197</v>
      </c>
      <c r="T14" s="31" t="s">
        <v>1198</v>
      </c>
      <c r="U14" s="31" t="s">
        <v>1199</v>
      </c>
      <c r="V14" s="31" t="s">
        <v>1200</v>
      </c>
      <c r="AB14" s="31" t="s">
        <v>1201</v>
      </c>
      <c r="AH14" s="31" t="s">
        <v>1202</v>
      </c>
      <c r="AJ14" s="0" t="n">
        <v>10</v>
      </c>
      <c r="AK14" s="0" t="s">
        <v>814</v>
      </c>
      <c r="AO14" s="0" t="s">
        <v>450</v>
      </c>
    </row>
    <row r="15" customFormat="false" ht="12.8" hidden="false" customHeight="false" outlineLevel="0" collapsed="false">
      <c r="I15" s="31" t="s">
        <v>540</v>
      </c>
      <c r="J15" s="31" t="s">
        <v>1048</v>
      </c>
      <c r="K15" s="31" t="s">
        <v>1203</v>
      </c>
      <c r="L15" s="31" t="s">
        <v>1048</v>
      </c>
      <c r="N15" s="31" t="s">
        <v>648</v>
      </c>
      <c r="Q15" s="31" t="s">
        <v>1204</v>
      </c>
      <c r="R15" s="31" t="s">
        <v>1205</v>
      </c>
      <c r="S15" s="31" t="s">
        <v>1206</v>
      </c>
      <c r="T15" s="31" t="s">
        <v>1207</v>
      </c>
      <c r="U15" s="31" t="s">
        <v>1208</v>
      </c>
      <c r="V15" s="31" t="s">
        <v>1209</v>
      </c>
      <c r="AB15" s="31" t="s">
        <v>1210</v>
      </c>
      <c r="AJ15" s="0" t="n">
        <v>11</v>
      </c>
      <c r="AK15" s="0" t="s">
        <v>815</v>
      </c>
      <c r="AO15" s="0" t="s">
        <v>450</v>
      </c>
    </row>
    <row r="16" customFormat="false" ht="12.8" hidden="false" customHeight="false" outlineLevel="0" collapsed="false">
      <c r="N16" s="31" t="s">
        <v>1211</v>
      </c>
      <c r="AB16" s="31" t="s">
        <v>976</v>
      </c>
      <c r="AJ16" s="0" t="n">
        <v>12</v>
      </c>
      <c r="AK16" s="0" t="s">
        <v>816</v>
      </c>
      <c r="AO16" s="0" t="s">
        <v>450</v>
      </c>
    </row>
    <row r="17" customFormat="false" ht="12.8" hidden="false" customHeight="false" outlineLevel="0" collapsed="false">
      <c r="N17" s="31" t="s">
        <v>1212</v>
      </c>
      <c r="AO17" s="0" t="s">
        <v>450</v>
      </c>
    </row>
    <row r="18" customFormat="false" ht="12.8" hidden="false" customHeight="false" outlineLevel="0" collapsed="false">
      <c r="AO18" s="0" t="s">
        <v>450</v>
      </c>
    </row>
    <row r="19" customFormat="false" ht="12.8" hidden="false" customHeight="false" outlineLevel="0" collapsed="false">
      <c r="AO19" s="0" t="s">
        <v>450</v>
      </c>
    </row>
    <row r="20" customFormat="false" ht="12.8" hidden="false" customHeight="false" outlineLevel="0" collapsed="false">
      <c r="AO20" s="0" t="s">
        <v>450</v>
      </c>
    </row>
    <row r="21" customFormat="false" ht="12.8" hidden="false" customHeight="false" outlineLevel="0" collapsed="false">
      <c r="AO21" s="0" t="s">
        <v>450</v>
      </c>
    </row>
    <row r="22" customFormat="false" ht="12.8" hidden="false" customHeight="false" outlineLevel="0" collapsed="false">
      <c r="AO22" s="0" t="s">
        <v>450</v>
      </c>
    </row>
    <row r="23" customFormat="false" ht="12.8" hidden="false" customHeight="false" outlineLevel="0" collapsed="false">
      <c r="AO23" s="0" t="s">
        <v>450</v>
      </c>
    </row>
    <row r="24" customFormat="false" ht="12.8" hidden="false" customHeight="false" outlineLevel="0" collapsed="false">
      <c r="AO24" s="0" t="s">
        <v>450</v>
      </c>
    </row>
    <row r="25" customFormat="false" ht="12.8" hidden="false" customHeight="false" outlineLevel="0" collapsed="false">
      <c r="AO25" s="0" t="s">
        <v>450</v>
      </c>
    </row>
    <row r="26" customFormat="false" ht="12.8" hidden="false" customHeight="false" outlineLevel="0" collapsed="false">
      <c r="AO26" s="0" t="s">
        <v>450</v>
      </c>
    </row>
    <row r="27" customFormat="false" ht="12.8" hidden="false" customHeight="false" outlineLevel="0" collapsed="false">
      <c r="AO27" s="0" t="s">
        <v>450</v>
      </c>
    </row>
    <row r="28" customFormat="false" ht="12.8" hidden="false" customHeight="false" outlineLevel="0" collapsed="false">
      <c r="AO28" s="0" t="s">
        <v>450</v>
      </c>
    </row>
    <row r="29" customFormat="false" ht="12.8" hidden="false" customHeight="false" outlineLevel="0" collapsed="false">
      <c r="AO29" s="0" t="s">
        <v>450</v>
      </c>
    </row>
    <row r="30" customFormat="false" ht="12.8" hidden="false" customHeight="false" outlineLevel="0" collapsed="false">
      <c r="AO30" s="0" t="s">
        <v>450</v>
      </c>
    </row>
    <row r="31" customFormat="false" ht="12.8" hidden="false" customHeight="false" outlineLevel="0" collapsed="false">
      <c r="AO31" s="0" t="s">
        <v>450</v>
      </c>
    </row>
    <row r="32" customFormat="false" ht="12.8" hidden="false" customHeight="false" outlineLevel="0" collapsed="false">
      <c r="AO32" s="0" t="s">
        <v>450</v>
      </c>
    </row>
    <row r="33" customFormat="false" ht="12.8" hidden="false" customHeight="false" outlineLevel="0" collapsed="false">
      <c r="AO33" s="0" t="s">
        <v>450</v>
      </c>
    </row>
    <row r="34" customFormat="false" ht="12.8" hidden="false" customHeight="false" outlineLevel="0" collapsed="false">
      <c r="AO34" s="0" t="s">
        <v>450</v>
      </c>
    </row>
    <row r="35" customFormat="false" ht="12.8" hidden="false" customHeight="false" outlineLevel="0" collapsed="false">
      <c r="AO35" s="0" t="s">
        <v>450</v>
      </c>
    </row>
    <row r="36" customFormat="false" ht="12.8" hidden="false" customHeight="false" outlineLevel="0" collapsed="false">
      <c r="AO36" s="0" t="s">
        <v>450</v>
      </c>
    </row>
    <row r="37" customFormat="false" ht="12.8" hidden="false" customHeight="false" outlineLevel="0" collapsed="false">
      <c r="AO37" s="0" t="s">
        <v>450</v>
      </c>
    </row>
  </sheetData>
  <dataValidations count="1">
    <dataValidation allowBlank="true" errorStyle="stop" operator="equal" showDropDown="false" showErrorMessage="true" showInputMessage="false" sqref="V5" type="list">
      <formula1>Static!$Q$5:$V$5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E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6" activeCellId="0" sqref="D26"/>
    </sheetView>
  </sheetViews>
  <sheetFormatPr defaultColWidth="15.90234375" defaultRowHeight="12.8" zeroHeight="false" outlineLevelRow="0" outlineLevelCol="0"/>
  <cols>
    <col collapsed="false" customWidth="true" hidden="false" outlineLevel="0" max="3" min="3" style="0" width="29.31"/>
    <col collapsed="false" customWidth="true" hidden="false" outlineLevel="0" max="4" min="4" style="0" width="22.36"/>
  </cols>
  <sheetData>
    <row r="1" customFormat="false" ht="12.8" hidden="false" customHeight="false" outlineLevel="0" collapsed="false">
      <c r="A1" s="13" t="s">
        <v>333</v>
      </c>
      <c r="B1" s="14" t="s">
        <v>334</v>
      </c>
    </row>
    <row r="2" customFormat="false" ht="12.8" hidden="false" customHeight="false" outlineLevel="0" collapsed="false">
      <c r="A2" s="13" t="s">
        <v>335</v>
      </c>
      <c r="B2" s="14" t="s">
        <v>334</v>
      </c>
    </row>
    <row r="3" customFormat="false" ht="12.8" hidden="false" customHeight="false" outlineLevel="0" collapsed="false">
      <c r="A3" s="13" t="s">
        <v>336</v>
      </c>
      <c r="B3" s="14" t="s">
        <v>334</v>
      </c>
    </row>
    <row r="5" customFormat="false" ht="12.8" hidden="false" customHeight="false" outlineLevel="0" collapsed="false">
      <c r="A5" s="15" t="s">
        <v>337</v>
      </c>
      <c r="B5" s="16" t="s">
        <v>338</v>
      </c>
      <c r="C5" s="16" t="s">
        <v>339</v>
      </c>
      <c r="D5" s="16" t="s">
        <v>340</v>
      </c>
      <c r="E5" s="17" t="s">
        <v>341</v>
      </c>
    </row>
    <row r="6" customFormat="false" ht="12.8" hidden="false" customHeight="false" outlineLevel="0" collapsed="false">
      <c r="A6" s="18" t="s">
        <v>342</v>
      </c>
      <c r="B6" s="19" t="s">
        <v>342</v>
      </c>
      <c r="C6" s="20" t="s">
        <v>342</v>
      </c>
      <c r="D6" s="19" t="s">
        <v>342</v>
      </c>
      <c r="E6" s="21" t="n">
        <v>0</v>
      </c>
    </row>
    <row r="7" customFormat="false" ht="12.8" hidden="false" customHeight="false" outlineLevel="0" collapsed="false">
      <c r="A7" s="18" t="s">
        <v>343</v>
      </c>
      <c r="B7" s="19" t="s">
        <v>342</v>
      </c>
      <c r="C7" s="20" t="n">
        <v>0</v>
      </c>
      <c r="D7" s="19" t="s">
        <v>343</v>
      </c>
      <c r="E7" s="21" t="n">
        <v>1</v>
      </c>
    </row>
    <row r="8" customFormat="false" ht="12.8" hidden="false" customHeight="false" outlineLevel="0" collapsed="false">
      <c r="A8" s="18" t="s">
        <v>344</v>
      </c>
      <c r="B8" s="19" t="s">
        <v>342</v>
      </c>
      <c r="C8" s="20" t="n">
        <v>45020</v>
      </c>
      <c r="D8" s="19" t="s">
        <v>344</v>
      </c>
      <c r="E8" s="21" t="n">
        <v>0</v>
      </c>
    </row>
    <row r="9" customFormat="false" ht="12.8" hidden="false" customHeight="false" outlineLevel="0" collapsed="false">
      <c r="A9" s="18" t="s">
        <v>345</v>
      </c>
      <c r="B9" s="19" t="s">
        <v>342</v>
      </c>
      <c r="C9" s="20" t="n">
        <v>0</v>
      </c>
      <c r="D9" s="19" t="s">
        <v>345</v>
      </c>
      <c r="E9" s="21" t="n">
        <v>0</v>
      </c>
    </row>
    <row r="10" customFormat="false" ht="12.8" hidden="false" customHeight="false" outlineLevel="0" collapsed="false">
      <c r="A10" s="18" t="s">
        <v>346</v>
      </c>
      <c r="B10" s="19" t="s">
        <v>342</v>
      </c>
      <c r="C10" s="20" t="n">
        <v>0</v>
      </c>
      <c r="D10" s="19" t="s">
        <v>346</v>
      </c>
      <c r="E10" s="21" t="n">
        <v>0</v>
      </c>
    </row>
    <row r="11" customFormat="false" ht="12.8" hidden="false" customHeight="false" outlineLevel="0" collapsed="false">
      <c r="A11" s="22" t="s">
        <v>347</v>
      </c>
      <c r="B11" s="23" t="s">
        <v>342</v>
      </c>
      <c r="C11" s="20" t="n">
        <v>45020</v>
      </c>
      <c r="D11" s="19" t="s">
        <v>347</v>
      </c>
      <c r="E11" s="21" t="n">
        <v>0</v>
      </c>
    </row>
    <row r="12" customFormat="false" ht="12.8" hidden="false" customHeight="false" outlineLevel="0" collapsed="false">
      <c r="A12" s="24"/>
      <c r="B12" s="25"/>
      <c r="C12" s="20" t="n">
        <v>44927</v>
      </c>
      <c r="D12" s="19" t="s">
        <v>347</v>
      </c>
      <c r="E12" s="21" t="n">
        <v>0</v>
      </c>
    </row>
    <row r="13" customFormat="false" ht="12.8" hidden="false" customHeight="false" outlineLevel="0" collapsed="false">
      <c r="A13" s="26" t="s">
        <v>348</v>
      </c>
      <c r="B13" s="27"/>
      <c r="C13" s="28"/>
      <c r="D13" s="29"/>
      <c r="E13" s="30"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71"/>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I14" activeCellId="0" sqref="AI14"/>
    </sheetView>
  </sheetViews>
  <sheetFormatPr defaultColWidth="15.1015625" defaultRowHeight="12.8" zeroHeight="false" outlineLevelRow="1" outlineLevelCol="1"/>
  <cols>
    <col collapsed="false" customWidth="true" hidden="true" outlineLevel="1" max="1" min="1" style="2" width="1.8"/>
    <col collapsed="false" customWidth="true" hidden="true" outlineLevel="1" max="3" min="2" style="31" width="7.68"/>
    <col collapsed="false" customWidth="true" hidden="true" outlineLevel="1" max="4" min="4" style="31" width="10.49"/>
    <col collapsed="false" customWidth="true" hidden="true" outlineLevel="1" max="5" min="5" style="31" width="9.26"/>
    <col collapsed="false" customWidth="true" hidden="true" outlineLevel="1" max="6" min="6" style="31" width="6.21"/>
    <col collapsed="false" customWidth="true" hidden="true" outlineLevel="1" max="7" min="7" style="31" width="7.53"/>
    <col collapsed="false" customWidth="true" hidden="true" outlineLevel="1" max="8" min="8" style="31" width="9.2"/>
    <col collapsed="false" customWidth="true" hidden="true" outlineLevel="1" max="9" min="9" style="31" width="7.81"/>
    <col collapsed="false" customWidth="true" hidden="true" outlineLevel="1" max="14" min="10" style="31" width="6.21"/>
    <col collapsed="false" customWidth="true" hidden="true" outlineLevel="1" max="16" min="15" style="31" width="3.12"/>
    <col collapsed="false" customWidth="true" hidden="true" outlineLevel="1" max="17" min="17" style="31" width="2.92"/>
    <col collapsed="false" customWidth="true" hidden="true" outlineLevel="1" max="22" min="18" style="31" width="2.95"/>
    <col collapsed="false" customWidth="true" hidden="false" outlineLevel="0" max="23" min="23" style="31" width="3.37"/>
    <col collapsed="false" customWidth="true" hidden="false" outlineLevel="0" max="24" min="24" style="31" width="2.92"/>
    <col collapsed="false" customWidth="true" hidden="false" outlineLevel="0" max="25" min="25" style="31" width="2.95"/>
    <col collapsed="false" customWidth="true" hidden="false" outlineLevel="0" max="26" min="26" style="32" width="2.63"/>
    <col collapsed="false" customWidth="true" hidden="false" outlineLevel="0" max="27" min="27" style="31" width="4.73"/>
    <col collapsed="false" customWidth="true" hidden="false" outlineLevel="0" max="28" min="28" style="31" width="10.19"/>
    <col collapsed="false" customWidth="true" hidden="false" outlineLevel="0" max="29" min="29" style="31" width="6.14"/>
    <col collapsed="false" customWidth="true" hidden="false" outlineLevel="0" max="30" min="30" style="31" width="5.14"/>
    <col collapsed="false" customWidth="true" hidden="false" outlineLevel="0" max="31" min="31" style="31" width="12.5"/>
    <col collapsed="false" customWidth="true" hidden="false" outlineLevel="0" max="32" min="32" style="2" width="24.87"/>
    <col collapsed="false" customWidth="true" hidden="false" outlineLevel="0" max="33" min="33" style="31" width="15.21"/>
    <col collapsed="false" customWidth="true" hidden="false" outlineLevel="0" max="35" min="34" style="31" width="10.23"/>
    <col collapsed="false" customWidth="true" hidden="false" outlineLevel="0" max="36" min="36" style="31" width="5.7"/>
    <col collapsed="false" customWidth="true" hidden="false" outlineLevel="0" max="38" min="37" style="31" width="6.54"/>
    <col collapsed="false" customWidth="true" hidden="false" outlineLevel="0" max="39" min="39" style="31" width="5.99"/>
    <col collapsed="false" customWidth="true" hidden="true" outlineLevel="0" max="40" min="40" style="31" width="11.84"/>
    <col collapsed="false" customWidth="true" hidden="false" outlineLevel="0" max="41" min="41" style="31" width="12.87"/>
    <col collapsed="false" customWidth="true" hidden="false" outlineLevel="0" max="42" min="42" style="31" width="13.6"/>
    <col collapsed="false" customWidth="true" hidden="false" outlineLevel="0" max="43" min="43" style="2" width="20.76"/>
    <col collapsed="false" customWidth="true" hidden="false" outlineLevel="0" max="44" min="44" style="31" width="7.81"/>
    <col collapsed="false" customWidth="true" hidden="false" outlineLevel="0" max="45" min="45" style="2" width="9.06"/>
    <col collapsed="false" customWidth="true" hidden="true" outlineLevel="1" max="47" min="46" style="2" width="14.05"/>
    <col collapsed="false" customWidth="true" hidden="true" outlineLevel="1" max="49" min="48" style="2" width="10.65"/>
    <col collapsed="false" customWidth="true" hidden="false" outlineLevel="0" max="50" min="50" style="0" width="2.54"/>
    <col collapsed="false" customWidth="false" hidden="true" outlineLevel="0" max="1016" min="51" style="0" width="15.08"/>
    <col collapsed="false" customWidth="true" hidden="false" outlineLevel="0" max="1024" min="1017" style="0" width="11.52"/>
  </cols>
  <sheetData>
    <row r="1" s="38" customFormat="true" ht="120.95" hidden="true" customHeight="true" outlineLevel="1" collapsed="false">
      <c r="A1" s="33" t="n">
        <f aca="true">TODAY()</f>
        <v>45334</v>
      </c>
      <c r="B1" s="34" t="s">
        <v>349</v>
      </c>
      <c r="C1" s="34" t="s">
        <v>350</v>
      </c>
      <c r="D1" s="34" t="s">
        <v>351</v>
      </c>
      <c r="E1" s="34" t="s">
        <v>352</v>
      </c>
      <c r="F1" s="34" t="s">
        <v>353</v>
      </c>
      <c r="G1" s="34" t="s">
        <v>353</v>
      </c>
      <c r="H1" s="34" t="s">
        <v>353</v>
      </c>
      <c r="I1" s="34" t="s">
        <v>353</v>
      </c>
      <c r="J1" s="34" t="s">
        <v>353</v>
      </c>
      <c r="K1" s="34" t="s">
        <v>354</v>
      </c>
      <c r="L1" s="34" t="s">
        <v>355</v>
      </c>
      <c r="M1" s="34" t="s">
        <v>356</v>
      </c>
      <c r="N1" s="34" t="s">
        <v>357</v>
      </c>
      <c r="O1" s="34" t="s">
        <v>358</v>
      </c>
      <c r="P1" s="34" t="s">
        <v>359</v>
      </c>
      <c r="Q1" s="34" t="s">
        <v>360</v>
      </c>
      <c r="R1" s="34" t="s">
        <v>361</v>
      </c>
      <c r="S1" s="34" t="s">
        <v>362</v>
      </c>
      <c r="T1" s="34" t="s">
        <v>363</v>
      </c>
      <c r="U1" s="34" t="s">
        <v>364</v>
      </c>
      <c r="V1" s="34" t="s">
        <v>365</v>
      </c>
      <c r="W1" s="34" t="s">
        <v>366</v>
      </c>
      <c r="X1" s="34" t="s">
        <v>367</v>
      </c>
      <c r="Y1" s="34" t="s">
        <v>368</v>
      </c>
      <c r="Z1" s="35" t="s">
        <v>369</v>
      </c>
      <c r="AA1" s="34" t="s">
        <v>370</v>
      </c>
      <c r="AB1" s="34" t="s">
        <v>371</v>
      </c>
      <c r="AC1" s="34" t="s">
        <v>372</v>
      </c>
      <c r="AD1" s="34" t="s">
        <v>373</v>
      </c>
      <c r="AE1" s="36" t="s">
        <v>374</v>
      </c>
      <c r="AF1" s="35" t="s">
        <v>375</v>
      </c>
      <c r="AG1" s="35" t="s">
        <v>376</v>
      </c>
      <c r="AH1" s="34" t="s">
        <v>377</v>
      </c>
      <c r="AI1" s="34" t="s">
        <v>378</v>
      </c>
      <c r="AJ1" s="34" t="s">
        <v>379</v>
      </c>
      <c r="AK1" s="34" t="s">
        <v>380</v>
      </c>
      <c r="AL1" s="34" t="s">
        <v>381</v>
      </c>
      <c r="AM1" s="34" t="s">
        <v>382</v>
      </c>
      <c r="AN1" s="34" t="s">
        <v>383</v>
      </c>
      <c r="AO1" s="35" t="s">
        <v>384</v>
      </c>
      <c r="AP1" s="36" t="s">
        <v>385</v>
      </c>
      <c r="AQ1" s="36" t="s">
        <v>386</v>
      </c>
      <c r="AR1" s="34" t="s">
        <v>387</v>
      </c>
      <c r="AS1" s="36" t="s">
        <v>388</v>
      </c>
      <c r="AT1" s="36" t="s">
        <v>389</v>
      </c>
      <c r="AU1" s="36" t="s">
        <v>390</v>
      </c>
      <c r="AV1" s="37" t="s">
        <v>391</v>
      </c>
      <c r="AW1" s="37" t="s">
        <v>392</v>
      </c>
      <c r="AX1" s="36" t="s">
        <v>393</v>
      </c>
      <c r="AMC1" s="0"/>
      <c r="AMD1" s="0"/>
      <c r="AME1" s="0"/>
      <c r="AMF1" s="0"/>
      <c r="AMG1" s="0"/>
      <c r="AMH1" s="0"/>
      <c r="AMI1" s="0"/>
      <c r="AMJ1" s="0"/>
    </row>
    <row r="2" s="38" customFormat="true" ht="14.15" hidden="true" customHeight="true" outlineLevel="1" collapsed="false">
      <c r="A2" s="36"/>
      <c r="B2" s="34"/>
      <c r="C2" s="34"/>
      <c r="D2" s="34" t="n">
        <v>1</v>
      </c>
      <c r="E2" s="34"/>
      <c r="F2" s="34"/>
      <c r="G2" s="34"/>
      <c r="H2" s="34"/>
      <c r="I2" s="34"/>
      <c r="J2" s="34"/>
      <c r="K2" s="34"/>
      <c r="L2" s="34"/>
      <c r="M2" s="34"/>
      <c r="N2" s="34"/>
      <c r="O2" s="34"/>
      <c r="P2" s="34"/>
      <c r="Q2" s="34"/>
      <c r="R2" s="34"/>
      <c r="S2" s="34"/>
      <c r="T2" s="34"/>
      <c r="U2" s="34"/>
      <c r="V2" s="34"/>
      <c r="W2" s="34"/>
      <c r="X2" s="34"/>
      <c r="Y2" s="34"/>
      <c r="Z2" s="35"/>
      <c r="AA2" s="34"/>
      <c r="AB2" s="34"/>
      <c r="AC2" s="34"/>
      <c r="AD2" s="34"/>
      <c r="AE2" s="34"/>
      <c r="AF2" s="35"/>
      <c r="AG2" s="35"/>
      <c r="AH2" s="34"/>
      <c r="AI2" s="34"/>
      <c r="AJ2" s="34"/>
      <c r="AK2" s="34"/>
      <c r="AL2" s="34"/>
      <c r="AM2" s="34"/>
      <c r="AN2" s="34"/>
      <c r="AO2" s="35"/>
      <c r="AP2" s="35"/>
      <c r="AQ2" s="36"/>
      <c r="AR2" s="34"/>
      <c r="AS2" s="36"/>
      <c r="AT2" s="36"/>
      <c r="AU2" s="36"/>
      <c r="AV2" s="37"/>
      <c r="AW2" s="37"/>
      <c r="AX2" s="36"/>
      <c r="AMC2" s="0"/>
      <c r="AMD2" s="0"/>
      <c r="AME2" s="0"/>
      <c r="AMF2" s="0"/>
      <c r="AMG2" s="0"/>
      <c r="AMH2" s="0"/>
      <c r="AMI2" s="0"/>
      <c r="AMJ2" s="0"/>
    </row>
    <row r="3" customFormat="false" ht="48.7" hidden="false" customHeight="true" outlineLevel="0" collapsed="false">
      <c r="A3" s="39" t="s">
        <v>394</v>
      </c>
      <c r="B3" s="40" t="s">
        <v>395</v>
      </c>
      <c r="C3" s="40" t="s">
        <v>396</v>
      </c>
      <c r="D3" s="41" t="s">
        <v>397</v>
      </c>
      <c r="E3" s="41" t="s">
        <v>398</v>
      </c>
      <c r="F3" s="41" t="s">
        <v>399</v>
      </c>
      <c r="G3" s="41" t="s">
        <v>400</v>
      </c>
      <c r="H3" s="41" t="s">
        <v>401</v>
      </c>
      <c r="I3" s="41" t="s">
        <v>402</v>
      </c>
      <c r="J3" s="41" t="s">
        <v>403</v>
      </c>
      <c r="K3" s="41" t="s">
        <v>404</v>
      </c>
      <c r="L3" s="41" t="s">
        <v>405</v>
      </c>
      <c r="M3" s="41" t="s">
        <v>406</v>
      </c>
      <c r="N3" s="41" t="s">
        <v>407</v>
      </c>
      <c r="O3" s="40" t="s">
        <v>408</v>
      </c>
      <c r="P3" s="40" t="s">
        <v>409</v>
      </c>
      <c r="Q3" s="40" t="s">
        <v>410</v>
      </c>
      <c r="R3" s="40" t="s">
        <v>411</v>
      </c>
      <c r="S3" s="40" t="s">
        <v>412</v>
      </c>
      <c r="T3" s="40" t="s">
        <v>413</v>
      </c>
      <c r="U3" s="40" t="s">
        <v>414</v>
      </c>
      <c r="V3" s="40" t="s">
        <v>415</v>
      </c>
      <c r="W3" s="40" t="s">
        <v>416</v>
      </c>
      <c r="X3" s="40" t="s">
        <v>417</v>
      </c>
      <c r="Y3" s="40" t="s">
        <v>418</v>
      </c>
      <c r="Z3" s="42" t="s">
        <v>333</v>
      </c>
      <c r="AA3" s="41" t="s">
        <v>419</v>
      </c>
      <c r="AB3" s="41" t="s">
        <v>420</v>
      </c>
      <c r="AC3" s="41" t="s">
        <v>421</v>
      </c>
      <c r="AD3" s="41" t="s">
        <v>422</v>
      </c>
      <c r="AE3" s="41" t="s">
        <v>423</v>
      </c>
      <c r="AF3" s="43" t="s">
        <v>424</v>
      </c>
      <c r="AG3" s="43" t="s">
        <v>425</v>
      </c>
      <c r="AH3" s="41" t="s">
        <v>426</v>
      </c>
      <c r="AI3" s="41" t="s">
        <v>427</v>
      </c>
      <c r="AJ3" s="41" t="s">
        <v>428</v>
      </c>
      <c r="AK3" s="41" t="s">
        <v>429</v>
      </c>
      <c r="AL3" s="41" t="s">
        <v>430</v>
      </c>
      <c r="AM3" s="41" t="s">
        <v>431</v>
      </c>
      <c r="AN3" s="41" t="s">
        <v>432</v>
      </c>
      <c r="AO3" s="43" t="s">
        <v>433</v>
      </c>
      <c r="AP3" s="43" t="s">
        <v>434</v>
      </c>
      <c r="AQ3" s="39" t="s">
        <v>435</v>
      </c>
      <c r="AR3" s="41" t="s">
        <v>436</v>
      </c>
      <c r="AS3" s="41" t="s">
        <v>437</v>
      </c>
      <c r="AT3" s="39" t="s">
        <v>438</v>
      </c>
      <c r="AU3" s="39" t="s">
        <v>439</v>
      </c>
      <c r="AV3" s="44" t="s">
        <v>440</v>
      </c>
      <c r="AW3" s="44" t="s">
        <v>441</v>
      </c>
      <c r="AX3" s="43" t="s">
        <v>442</v>
      </c>
    </row>
    <row r="4" customFormat="false" ht="8.75" hidden="false" customHeight="true" outlineLevel="0" collapsed="false">
      <c r="A4" s="45" t="str">
        <f aca="false">A3</f>
        <v>A</v>
      </c>
      <c r="B4" s="46" t="str">
        <f aca="false">B3</f>
        <v>Performer</v>
      </c>
      <c r="C4" s="46" t="str">
        <f aca="false">C3</f>
        <v>Beneficiary</v>
      </c>
      <c r="D4" s="46" t="str">
        <f aca="false">D3</f>
        <v>Last Date</v>
      </c>
      <c r="E4" s="46" t="str">
        <f aca="false">E3</f>
        <v>Duration</v>
      </c>
      <c r="F4" s="46" t="str">
        <f aca="false">F3</f>
        <v>Tasks Open</v>
      </c>
      <c r="G4" s="46" t="str">
        <f aca="false">G3</f>
        <v>Tasks Started</v>
      </c>
      <c r="H4" s="46" t="str">
        <f aca="false">H3</f>
        <v>Tasks Pending</v>
      </c>
      <c r="I4" s="46" t="str">
        <f aca="false">I3</f>
        <v>Tasks Urgent</v>
      </c>
      <c r="J4" s="46" t="str">
        <f aca="false">J3</f>
        <v>Tasks Done</v>
      </c>
      <c r="K4" s="46" t="str">
        <f aca="false">K3</f>
        <v>Tasks Total</v>
      </c>
      <c r="L4" s="46" t="str">
        <f aca="false">L3</f>
        <v>Last Date Year</v>
      </c>
      <c r="M4" s="46" t="str">
        <f aca="false">M3</f>
        <v>Last Date Month</v>
      </c>
      <c r="N4" s="46" t="str">
        <f aca="false">N3</f>
        <v>Last Date Week</v>
      </c>
      <c r="O4" s="46"/>
      <c r="P4" s="46" t="str">
        <f aca="false">P3</f>
        <v>Recurs?</v>
      </c>
      <c r="Q4" s="46"/>
      <c r="R4" s="46" t="str">
        <f aca="false">R3</f>
        <v>Next wk?</v>
      </c>
      <c r="S4" s="46" t="str">
        <f aca="false">S3</f>
        <v>Overdue?</v>
      </c>
      <c r="T4" s="46" t="str">
        <f aca="false">T3</f>
        <v>Last wk?</v>
      </c>
      <c r="U4" s="46" t="str">
        <f aca="false">U3</f>
        <v>Active ?</v>
      </c>
      <c r="V4" s="46" t="str">
        <f aca="false">V3</f>
        <v>Done  ?</v>
      </c>
      <c r="W4" s="46" t="str">
        <f aca="false">W3</f>
        <v>Alert ?</v>
      </c>
      <c r="X4" s="46" t="str">
        <f aca="false">X3</f>
        <v>Rep ?</v>
      </c>
      <c r="Y4" s="46" t="str">
        <f aca="false">Y3</f>
        <v>Show ?</v>
      </c>
      <c r="Z4" s="47" t="str">
        <f aca="false">Z3</f>
        <v>Sort</v>
      </c>
      <c r="AA4" s="46" t="str">
        <f aca="false">AA3</f>
        <v>Day</v>
      </c>
      <c r="AB4" s="46" t="str">
        <f aca="false">AB3</f>
        <v>Calc 
Start 
Date</v>
      </c>
      <c r="AC4" s="46" t="str">
        <f aca="false">AC3</f>
        <v>Force Rep</v>
      </c>
      <c r="AD4" s="46"/>
      <c r="AE4" s="46" t="str">
        <f aca="false">AE3</f>
        <v>Tracking Type</v>
      </c>
      <c r="AF4" s="47" t="str">
        <f aca="false">AF3</f>
        <v>Name</v>
      </c>
      <c r="AG4" s="47" t="str">
        <f aca="false">AG3</f>
        <v>Overview</v>
      </c>
      <c r="AH4" s="46" t="str">
        <f aca="false">AH3</f>
        <v>Start 
Date</v>
      </c>
      <c r="AI4" s="46" t="str">
        <f aca="false">AI3</f>
        <v>End 
Date</v>
      </c>
      <c r="AJ4" s="46" t="str">
        <f aca="false">AJ3</f>
        <v>Effort</v>
      </c>
      <c r="AK4" s="46" t="str">
        <f aca="false">AK3</f>
        <v>Whom by</v>
      </c>
      <c r="AL4" s="46" t="str">
        <f aca="false">AL3</f>
        <v>Whom for</v>
      </c>
      <c r="AM4" s="46" t="str">
        <f aca="false">AM3</f>
        <v>Goal</v>
      </c>
      <c r="AN4" s="46" t="str">
        <f aca="false">AN3</f>
        <v>Sub-Goal</v>
      </c>
      <c r="AO4" s="47" t="str">
        <f aca="false">AO3</f>
        <v>Reference</v>
      </c>
      <c r="AP4" s="47" t="str">
        <f aca="false">AP3</f>
        <v>Notes</v>
      </c>
      <c r="AQ4" s="45" t="str">
        <f aca="false">AQ3</f>
        <v>Tasks</v>
      </c>
      <c r="AR4" s="46" t="str">
        <f aca="false">AR3</f>
        <v>Tasks Left</v>
      </c>
      <c r="AS4" s="45" t="str">
        <f aca="false">AS3</f>
        <v>Task Progress</v>
      </c>
      <c r="AT4" s="45" t="str">
        <f aca="false">AT3</f>
        <v>First Note</v>
      </c>
      <c r="AU4" s="45" t="str">
        <f aca="false">AU3</f>
        <v>Last Note</v>
      </c>
      <c r="AV4" s="48" t="str">
        <f aca="false">AV3</f>
        <v>First Note Date</v>
      </c>
      <c r="AW4" s="48" t="str">
        <f aca="false">AW3</f>
        <v>Last Note Date</v>
      </c>
      <c r="AX4" s="47" t="str">
        <f aca="false">AX3</f>
        <v>Z</v>
      </c>
    </row>
    <row r="5" customFormat="false" ht="12.75" hidden="false" customHeight="true" outlineLevel="0" collapsed="false">
      <c r="B5" s="49" t="str">
        <f aca="false">IF(AK5="","tbc",AK5)</f>
        <v>STE</v>
      </c>
      <c r="C5" s="49" t="str">
        <f aca="false">IF(AL5="","VNT",AL5)</f>
        <v>VNT</v>
      </c>
      <c r="D5" s="49" t="n">
        <f aca="false">MAX(AB5,IF(AW5="none",AB5,AW5))</f>
        <v>44927</v>
      </c>
      <c r="E5" s="50" t="n">
        <f aca="false">IFERROR(DAYS360(AB5,D5),0)</f>
        <v>0</v>
      </c>
      <c r="F5" s="50" t="n">
        <f aca="false">((LEN($AQ5)-LEN(SUBSTITUTE($AQ5,CHAR(10)&amp;". ","")))/3)+IF(LEFT(TRIM($AQ5),2)=". ",1,0)</f>
        <v>0</v>
      </c>
      <c r="G5" s="50" t="n">
        <f aca="false">((LEN($AQ5)-LEN(SUBSTITUTE($AQ5,CHAR(10)&amp;"/ ","")))/3)+IF(LEFT(TRIM($AQ5),2)="/ ",1,0)</f>
        <v>0</v>
      </c>
      <c r="H5" s="50" t="n">
        <f aca="false">((LEN($AQ5)-LEN(SUBSTITUTE($AQ5,CHAR(10)&amp;"~ ","")))/3)+IF(LEFT(TRIM($AQ5),2)="~ ",1,0)</f>
        <v>0</v>
      </c>
      <c r="I5" s="50" t="n">
        <f aca="false">((LEN($AQ5)-LEN(SUBSTITUTE($AQ5,CHAR(10)&amp;"! ","")))/3)+IF(LEFT(TRIM($AQ5),2)="! ",1,0)</f>
        <v>0</v>
      </c>
      <c r="J5" s="50" t="n">
        <f aca="false">((LEN($AQ5)-LEN(SUBSTITUTE($AQ5,CHAR(10)&amp;"x ","")))/3)+IF(LEFT(TRIM($AQ5),2)="x ",1,0)</f>
        <v>0</v>
      </c>
      <c r="K5" s="50" t="n">
        <f aca="false">SUM(F5:J5)</f>
        <v>0</v>
      </c>
      <c r="L5" s="51" t="n">
        <f aca="false">YEAR(D5)</f>
        <v>2023</v>
      </c>
      <c r="M5" s="51" t="str">
        <f aca="false">VLOOKUP(MONTH(D5),Static!$AJ$3:$AK$16,2,0)</f>
        <v>Jan</v>
      </c>
      <c r="N5" s="51" t="n">
        <f aca="false">WEEKNUM(D5,1)</f>
        <v>1</v>
      </c>
      <c r="O5" s="51" t="str">
        <f aca="false">IFERROR(INDEX(Static!$I$5:$L$15,MATCH(AE5,Static!$I$5:$I$15,0),3),"Z")</f>
        <v>A</v>
      </c>
      <c r="P5" s="51" t="str">
        <f aca="false">IFERROR(INDEX(Static!$I$5:$L$15,MATCH(AE5,Static!$I$5:$I$15,0),2),"Y")</f>
        <v>Y</v>
      </c>
      <c r="Q5" s="51" t="str">
        <f aca="false">IFERROR(INDEX(Static!$I$5:$L$15,MATCH(AE5,Static!$I$5:$I$15,0),4),"Y")</f>
        <v>Y</v>
      </c>
      <c r="R5" s="51" t="str">
        <f aca="false">IF(AND(AI5&lt;&gt;"",S5="N",$A$1&gt;=AI5-(7*$D$2)),"Y","N")</f>
        <v>N</v>
      </c>
      <c r="S5" s="51" t="str">
        <f aca="false">IF(AND(AI5&lt;&gt;"",$A$1&gt;=AI5),"Y","N")</f>
        <v>N</v>
      </c>
      <c r="T5" s="51" t="str">
        <f aca="false">IF(D5&gt;(($A$1-WEEKDAY($A$1,2))-7*$D$2),"Y","N")</f>
        <v>N</v>
      </c>
      <c r="U5" s="49" t="str">
        <f aca="false">IF(AR5&gt;0,"Y","N")</f>
        <v>N</v>
      </c>
      <c r="V5" s="51" t="str">
        <f aca="false">IF(AND(T5="Y",U5="N"),"Y","N")</f>
        <v>N</v>
      </c>
      <c r="W5" s="52" t="str">
        <f aca="false">IF(OR(R5="Y",AND(U5="Y",S5="Y"), $A$1=AI5),"Y","N")</f>
        <v>N</v>
      </c>
      <c r="X5" s="49" t="str">
        <f aca="false">IF(OR(AC5="Y",AC5="N"),AC5,IF(AND(Q5="Y", OR(T5="Y",V5="Y", W5="Y")),"Y","N"))</f>
        <v>N</v>
      </c>
      <c r="Y5" s="51" t="str">
        <f aca="false">IF(OR(P5="Y", U5="Y",W5="Y"),"Y","N")</f>
        <v>Y</v>
      </c>
      <c r="Z5" s="53" t="str">
        <f aca="false">" -  "&amp;O5&amp;AM5&amp;AN5&amp;AF5</f>
        <v>-  Amgt00. Manage Management</v>
      </c>
      <c r="AA5" s="51" t="str">
        <f aca="false">IFERROR(VLOOKUP(WEEKDAY(AB5),Static!$AL$3:$AM$11,2,0),"")</f>
        <v>Sun</v>
      </c>
      <c r="AB5" s="49" t="n">
        <f aca="false">IF(AH5&lt;&gt;"",AH5,AV5)</f>
        <v>44927</v>
      </c>
      <c r="AC5" s="54"/>
      <c r="AD5" s="54"/>
      <c r="AE5" s="55" t="s">
        <v>443</v>
      </c>
      <c r="AF5" s="56" t="s">
        <v>444</v>
      </c>
      <c r="AG5" s="56" t="s">
        <v>445</v>
      </c>
      <c r="AH5" s="54" t="n">
        <v>44927</v>
      </c>
      <c r="AI5" s="54"/>
      <c r="AJ5" s="57"/>
      <c r="AK5" s="54" t="s">
        <v>446</v>
      </c>
      <c r="AL5" s="54" t="s">
        <v>343</v>
      </c>
      <c r="AM5" s="54" t="s">
        <v>447</v>
      </c>
      <c r="AN5" s="54"/>
      <c r="AO5" s="58" t="s">
        <v>448</v>
      </c>
      <c r="AP5" s="56" t="s">
        <v>449</v>
      </c>
      <c r="AQ5" s="56"/>
      <c r="AR5" s="51" t="n">
        <f aca="false">SUM(F5:I5)</f>
        <v>0</v>
      </c>
      <c r="AS5" s="59" t="n">
        <f aca="false">IF(AF5="",1,IF(K5&lt;&gt;0,(G5*0.5+J5)/K5,1))</f>
        <v>1</v>
      </c>
      <c r="AT5" s="60" t="str">
        <f aca="false">IF(AP5="","",IF(ISERROR(FIND(CHAR(10),AP5,1)),AP5,LEFT(AP5,FIND(CHAR(10),AP5,1))))</f>
        <v>03-01-22: init</v>
      </c>
      <c r="AU5" s="61" t="str">
        <f aca="false">IF(AP5="","",IFERROR(RIGHT(AP5,LEN(AP5)-FIND("@@@",SUBSTITUTE(AP5,CHAR(10),"@@@",LEN(AP5)-LEN(SUBSTITUTE(AP5,CHAR(10),""))),1)),AP5))</f>
        <v>03-01-22: init</v>
      </c>
      <c r="AV5" s="62" t="n">
        <f aca="false">IFERROR(DATE(("20"&amp;MID(AT5,7,2))*1,MID(AT5,4,2)*1,MID(AT5,1,2)*1),"")</f>
        <v>44564</v>
      </c>
      <c r="AW5" s="62" t="n">
        <f aca="false">IFERROR(DATE(("20"&amp;MID(AU5,7,2))*1,MID(AU5,4,2)*1,MID(AU5,1,2)*1),"")</f>
        <v>44564</v>
      </c>
      <c r="AX5" s="56" t="s">
        <v>450</v>
      </c>
    </row>
    <row r="6" customFormat="false" ht="12.75" hidden="false" customHeight="true" outlineLevel="0" collapsed="false">
      <c r="A6" s="63"/>
      <c r="B6" s="49" t="str">
        <f aca="false">IF(AK6="","tbc",AK6)</f>
        <v>STE</v>
      </c>
      <c r="C6" s="49" t="str">
        <f aca="false">IF(AL6="","VNT",AL6)</f>
        <v>VNT</v>
      </c>
      <c r="D6" s="49" t="n">
        <f aca="false">MAX(AB6,IF(AW6="none",AB6,AW6))</f>
        <v>44927</v>
      </c>
      <c r="E6" s="50" t="n">
        <f aca="false">IFERROR(DAYS360(AB6,D6),0)</f>
        <v>0</v>
      </c>
      <c r="F6" s="50" t="n">
        <f aca="false">((LEN($AQ6)-LEN(SUBSTITUTE($AQ6,CHAR(10)&amp;". ","")))/3)+IF(LEFT(TRIM($AQ6),2)=". ",1,0)</f>
        <v>13</v>
      </c>
      <c r="G6" s="50" t="n">
        <f aca="false">((LEN($AQ6)-LEN(SUBSTITUTE($AQ6,CHAR(10)&amp;"/ ","")))/3)+IF(LEFT(TRIM($AQ6),2)="/ ",1,0)</f>
        <v>0</v>
      </c>
      <c r="H6" s="50" t="n">
        <f aca="false">((LEN($AQ6)-LEN(SUBSTITUTE($AQ6,CHAR(10)&amp;"~ ","")))/3)+IF(LEFT(TRIM($AQ6),2)="~ ",1,0)</f>
        <v>0</v>
      </c>
      <c r="I6" s="50" t="n">
        <f aca="false">((LEN($AQ6)-LEN(SUBSTITUTE($AQ6,CHAR(10)&amp;"! ","")))/3)+IF(LEFT(TRIM($AQ6),2)="! ",1,0)</f>
        <v>0</v>
      </c>
      <c r="J6" s="50" t="n">
        <f aca="false">((LEN($AQ6)-LEN(SUBSTITUTE($AQ6,CHAR(10)&amp;"x ","")))/3)+IF(LEFT(TRIM($AQ6),2)="x ",1,0)</f>
        <v>0</v>
      </c>
      <c r="K6" s="50" t="n">
        <f aca="false">SUM(F6:J6)</f>
        <v>13</v>
      </c>
      <c r="L6" s="51" t="n">
        <f aca="false">YEAR(D6)</f>
        <v>2023</v>
      </c>
      <c r="M6" s="51" t="str">
        <f aca="false">VLOOKUP(MONTH(D6),Static!$AJ$3:$AK$16,2,0)</f>
        <v>Jan</v>
      </c>
      <c r="N6" s="51" t="n">
        <f aca="false">WEEKNUM(D6,1)</f>
        <v>1</v>
      </c>
      <c r="O6" s="51" t="str">
        <f aca="false">IFERROR(INDEX(Static!$I$5:$L$15,MATCH(AE6,Static!$I$5:$I$15,0),3),"Z")</f>
        <v>A</v>
      </c>
      <c r="P6" s="51" t="str">
        <f aca="false">IFERROR(INDEX(Static!$I$5:$L$15,MATCH(AE6,Static!$I$5:$I$15,0),2),"Y")</f>
        <v>Y</v>
      </c>
      <c r="Q6" s="51" t="str">
        <f aca="false">IFERROR(INDEX(Static!$I$5:$L$15,MATCH(AE6,Static!$I$5:$I$15,0),4),"Y")</f>
        <v>Y</v>
      </c>
      <c r="R6" s="51" t="str">
        <f aca="false">IF(AND(AI6&lt;&gt;"",S6="N",$A$1&gt;=AI6-(7*$D$2)),"Y","N")</f>
        <v>N</v>
      </c>
      <c r="S6" s="51" t="str">
        <f aca="false">IF(AND(AI6&lt;&gt;"",$A$1&gt;=AI6),"Y","N")</f>
        <v>N</v>
      </c>
      <c r="T6" s="51" t="str">
        <f aca="false">IF(D6&gt;(($A$1-WEEKDAY($A$1,2))-7*$D$2),"Y","N")</f>
        <v>N</v>
      </c>
      <c r="U6" s="49" t="str">
        <f aca="false">IF(AR6&gt;0,"Y","N")</f>
        <v>Y</v>
      </c>
      <c r="V6" s="51" t="str">
        <f aca="false">IF(AND(T6="Y",U6="N"),"Y","N")</f>
        <v>N</v>
      </c>
      <c r="W6" s="52" t="str">
        <f aca="false">IF(OR(R6="Y",AND(U6="Y",S6="Y"), $A$1=AI6),"Y","N")</f>
        <v>N</v>
      </c>
      <c r="X6" s="49" t="str">
        <f aca="false">IF(OR(AC6="Y",AC6="N"),AC6,IF(AND(Q6="Y", OR(T6="Y",V6="Y", W6="Y")),"Y","N"))</f>
        <v>N</v>
      </c>
      <c r="Y6" s="51" t="str">
        <f aca="false">IF(OR(P6="Y", U6="Y",W6="Y"),"Y","N")</f>
        <v>Y</v>
      </c>
      <c r="Z6" s="53" t="str">
        <f aca="false">" -  "&amp;O6&amp;AM6&amp;AN6&amp;AF6</f>
        <v>-  Amgt01. Manage Planning</v>
      </c>
      <c r="AA6" s="51" t="str">
        <f aca="false">IFERROR(VLOOKUP(WEEKDAY(AB6),Static!$AL$3:$AM$11,2,0),"")</f>
        <v>Sun</v>
      </c>
      <c r="AB6" s="49" t="n">
        <f aca="false">IF(AH6&lt;&gt;"",AH6,AV6)</f>
        <v>44927</v>
      </c>
      <c r="AC6" s="54"/>
      <c r="AD6" s="54"/>
      <c r="AE6" s="55" t="s">
        <v>443</v>
      </c>
      <c r="AF6" s="56" t="s">
        <v>451</v>
      </c>
      <c r="AG6" s="58" t="s">
        <v>452</v>
      </c>
      <c r="AH6" s="54" t="n">
        <v>44927</v>
      </c>
      <c r="AI6" s="54"/>
      <c r="AJ6" s="57"/>
      <c r="AK6" s="54" t="s">
        <v>446</v>
      </c>
      <c r="AL6" s="54" t="s">
        <v>343</v>
      </c>
      <c r="AM6" s="54" t="s">
        <v>447</v>
      </c>
      <c r="AN6" s="54"/>
      <c r="AO6" s="58" t="s">
        <v>453</v>
      </c>
      <c r="AP6" s="56" t="s">
        <v>449</v>
      </c>
      <c r="AQ6" s="58" t="s">
        <v>454</v>
      </c>
      <c r="AR6" s="51" t="n">
        <f aca="false">SUM(F6:I6)</f>
        <v>13</v>
      </c>
      <c r="AS6" s="59" t="n">
        <f aca="false">IF(AF6="",1,IF(K6&lt;&gt;0,(G6*0.5+J6)/K6,1))</f>
        <v>0</v>
      </c>
      <c r="AT6" s="60" t="str">
        <f aca="false">IF(AP6="","",IF(ISERROR(FIND(CHAR(10),AP6,1)),AP6,LEFT(AP6,FIND(CHAR(10),AP6,1))))</f>
        <v>03-01-22: init</v>
      </c>
      <c r="AU6" s="61" t="str">
        <f aca="false">IF(AP6="","",IFERROR(RIGHT(AP6,LEN(AP6)-FIND("@@@",SUBSTITUTE(AP6,CHAR(10),"@@@",LEN(AP6)-LEN(SUBSTITUTE(AP6,CHAR(10),""))),1)),AP6))</f>
        <v>03-01-22: init</v>
      </c>
      <c r="AV6" s="62" t="n">
        <f aca="false">IFERROR(DATE(("20"&amp;MID(AT6,7,2))*1,MID(AT6,4,2)*1,MID(AT6,1,2)*1),"")</f>
        <v>44564</v>
      </c>
      <c r="AW6" s="62" t="n">
        <f aca="false">IFERROR(DATE(("20"&amp;MID(AU6,7,2))*1,MID(AU6,4,2)*1,MID(AU6,1,2)*1),"")</f>
        <v>44564</v>
      </c>
      <c r="AX6" s="56" t="s">
        <v>450</v>
      </c>
    </row>
    <row r="7" customFormat="false" ht="12.75" hidden="false" customHeight="true" outlineLevel="0" collapsed="false">
      <c r="A7" s="63"/>
      <c r="B7" s="49" t="str">
        <f aca="false">IF(AK7="","tbc",AK7)</f>
        <v>STE</v>
      </c>
      <c r="C7" s="49" t="str">
        <f aca="false">IF(AL7="","VNT",AL7)</f>
        <v>VNT</v>
      </c>
      <c r="D7" s="49" t="n">
        <f aca="false">MAX(AB7,IF(AW7="none",AB7,AW7))</f>
        <v>44927</v>
      </c>
      <c r="E7" s="50" t="n">
        <f aca="false">IFERROR(DAYS360(AB7,D7),0)</f>
        <v>0</v>
      </c>
      <c r="F7" s="50" t="n">
        <f aca="false">((LEN($AQ7)-LEN(SUBSTITUTE($AQ7,CHAR(10)&amp;". ","")))/3)+IF(LEFT(TRIM($AQ7),2)=". ",1,0)</f>
        <v>3</v>
      </c>
      <c r="G7" s="50" t="n">
        <f aca="false">((LEN($AQ7)-LEN(SUBSTITUTE($AQ7,CHAR(10)&amp;"/ ","")))/3)+IF(LEFT(TRIM($AQ7),2)="/ ",1,0)</f>
        <v>0</v>
      </c>
      <c r="H7" s="50" t="n">
        <f aca="false">((LEN($AQ7)-LEN(SUBSTITUTE($AQ7,CHAR(10)&amp;"~ ","")))/3)+IF(LEFT(TRIM($AQ7),2)="~ ",1,0)</f>
        <v>0</v>
      </c>
      <c r="I7" s="50" t="n">
        <f aca="false">((LEN($AQ7)-LEN(SUBSTITUTE($AQ7,CHAR(10)&amp;"! ","")))/3)+IF(LEFT(TRIM($AQ7),2)="! ",1,0)</f>
        <v>0</v>
      </c>
      <c r="J7" s="50" t="n">
        <f aca="false">((LEN($AQ7)-LEN(SUBSTITUTE($AQ7,CHAR(10)&amp;"x ","")))/3)+IF(LEFT(TRIM($AQ7),2)="x ",1,0)</f>
        <v>0</v>
      </c>
      <c r="K7" s="50" t="n">
        <f aca="false">SUM(F7:J7)</f>
        <v>3</v>
      </c>
      <c r="L7" s="51" t="n">
        <f aca="false">YEAR(D7)</f>
        <v>2023</v>
      </c>
      <c r="M7" s="51" t="str">
        <f aca="false">VLOOKUP(MONTH(D7),Static!$AJ$3:$AK$16,2,0)</f>
        <v>Jan</v>
      </c>
      <c r="N7" s="51" t="n">
        <f aca="false">WEEKNUM(D7,1)</f>
        <v>1</v>
      </c>
      <c r="O7" s="51" t="str">
        <f aca="false">IFERROR(INDEX(Static!$I$5:$L$15,MATCH(AE7,Static!$I$5:$I$15,0),3),"Z")</f>
        <v>A</v>
      </c>
      <c r="P7" s="51" t="str">
        <f aca="false">IFERROR(INDEX(Static!$I$5:$L$15,MATCH(AE7,Static!$I$5:$I$15,0),2),"Y")</f>
        <v>Y</v>
      </c>
      <c r="Q7" s="51" t="str">
        <f aca="false">IFERROR(INDEX(Static!$I$5:$L$15,MATCH(AE7,Static!$I$5:$I$15,0),4),"Y")</f>
        <v>Y</v>
      </c>
      <c r="R7" s="51" t="str">
        <f aca="false">IF(AND(AI7&lt;&gt;"",S7="N",$A$1&gt;=AI7-(7*$D$2)),"Y","N")</f>
        <v>N</v>
      </c>
      <c r="S7" s="51" t="str">
        <f aca="false">IF(AND(AI7&lt;&gt;"",$A$1&gt;=AI7),"Y","N")</f>
        <v>N</v>
      </c>
      <c r="T7" s="51" t="str">
        <f aca="false">IF(D7&gt;(($A$1-WEEKDAY($A$1,2))-7*$D$2),"Y","N")</f>
        <v>N</v>
      </c>
      <c r="U7" s="49" t="str">
        <f aca="false">IF(AR7&gt;0,"Y","N")</f>
        <v>Y</v>
      </c>
      <c r="V7" s="51" t="str">
        <f aca="false">IF(AND(T7="Y",U7="N"),"Y","N")</f>
        <v>N</v>
      </c>
      <c r="W7" s="52" t="str">
        <f aca="false">IF(OR(R7="Y",AND(U7="Y",S7="Y"), $A$1=AI7),"Y","N")</f>
        <v>N</v>
      </c>
      <c r="X7" s="49" t="str">
        <f aca="false">IF(OR(AC7="Y",AC7="N"),AC7,IF(AND(Q7="Y", OR(T7="Y",V7="Y", W7="Y")),"Y","N"))</f>
        <v>N</v>
      </c>
      <c r="Y7" s="51" t="str">
        <f aca="false">IF(OR(P7="Y", U7="Y",W7="Y"),"Y","N")</f>
        <v>Y</v>
      </c>
      <c r="Z7" s="53" t="str">
        <f aca="false">" -  "&amp;O7&amp;AM7&amp;AN7&amp;AF7</f>
        <v>-  Amgt02. Manage Organising</v>
      </c>
      <c r="AA7" s="51" t="str">
        <f aca="false">IFERROR(VLOOKUP(WEEKDAY(AB7),Static!$AL$3:$AM$11,2,0),"")</f>
        <v>Sun</v>
      </c>
      <c r="AB7" s="49" t="n">
        <f aca="false">IF(AH7&lt;&gt;"",AH7,AV7)</f>
        <v>44927</v>
      </c>
      <c r="AC7" s="54"/>
      <c r="AD7" s="54"/>
      <c r="AE7" s="55" t="s">
        <v>443</v>
      </c>
      <c r="AF7" s="56" t="s">
        <v>455</v>
      </c>
      <c r="AG7" s="58" t="s">
        <v>456</v>
      </c>
      <c r="AH7" s="54" t="n">
        <v>44927</v>
      </c>
      <c r="AI7" s="54"/>
      <c r="AJ7" s="57"/>
      <c r="AK7" s="54" t="s">
        <v>446</v>
      </c>
      <c r="AL7" s="54" t="s">
        <v>343</v>
      </c>
      <c r="AM7" s="54" t="s">
        <v>447</v>
      </c>
      <c r="AN7" s="54"/>
      <c r="AO7" s="58" t="s">
        <v>457</v>
      </c>
      <c r="AP7" s="56" t="s">
        <v>449</v>
      </c>
      <c r="AQ7" s="58" t="s">
        <v>458</v>
      </c>
      <c r="AR7" s="51" t="n">
        <f aca="false">SUM(F7:I7)</f>
        <v>3</v>
      </c>
      <c r="AS7" s="59" t="n">
        <f aca="false">IF(AF7="",1,IF(K7&lt;&gt;0,(G7*0.5+J7)/K7,1))</f>
        <v>0</v>
      </c>
      <c r="AT7" s="60" t="str">
        <f aca="false">IF(AP7="","",IF(ISERROR(FIND(CHAR(10),AP7,1)),AP7,LEFT(AP7,FIND(CHAR(10),AP7,1))))</f>
        <v>03-01-22: init</v>
      </c>
      <c r="AU7" s="61" t="str">
        <f aca="false">IF(AP7="","",IFERROR(RIGHT(AP7,LEN(AP7)-FIND("@@@",SUBSTITUTE(AP7,CHAR(10),"@@@",LEN(AP7)-LEN(SUBSTITUTE(AP7,CHAR(10),""))),1)),AP7))</f>
        <v>03-01-22: init</v>
      </c>
      <c r="AV7" s="62" t="n">
        <f aca="false">IFERROR(DATE(("20"&amp;MID(AT7,7,2))*1,MID(AT7,4,2)*1,MID(AT7,1,2)*1),"")</f>
        <v>44564</v>
      </c>
      <c r="AW7" s="62" t="n">
        <f aca="false">IFERROR(DATE(("20"&amp;MID(AU7,7,2))*1,MID(AU7,4,2)*1,MID(AU7,1,2)*1),"")</f>
        <v>44564</v>
      </c>
      <c r="AX7" s="56" t="s">
        <v>450</v>
      </c>
    </row>
    <row r="8" customFormat="false" ht="12.75" hidden="false" customHeight="true" outlineLevel="0" collapsed="false">
      <c r="A8" s="63"/>
      <c r="B8" s="49" t="str">
        <f aca="false">IF(AK8="","tbc",AK8)</f>
        <v>STE</v>
      </c>
      <c r="C8" s="49" t="str">
        <f aca="false">IF(AL8="","VNT",AL8)</f>
        <v>VNT</v>
      </c>
      <c r="D8" s="49" t="n">
        <f aca="false">MAX(AB8,IF(AW8="none",AB8,AW8))</f>
        <v>44927</v>
      </c>
      <c r="E8" s="50" t="n">
        <f aca="false">IFERROR(DAYS360(AB8,D8),0)</f>
        <v>0</v>
      </c>
      <c r="F8" s="50" t="n">
        <f aca="false">((LEN($AQ8)-LEN(SUBSTITUTE($AQ8,CHAR(10)&amp;". ","")))/3)+IF(LEFT(TRIM($AQ8),2)=". ",1,0)</f>
        <v>7</v>
      </c>
      <c r="G8" s="50" t="n">
        <f aca="false">((LEN($AQ8)-LEN(SUBSTITUTE($AQ8,CHAR(10)&amp;"/ ","")))/3)+IF(LEFT(TRIM($AQ8),2)="/ ",1,0)</f>
        <v>0</v>
      </c>
      <c r="H8" s="50" t="n">
        <f aca="false">((LEN($AQ8)-LEN(SUBSTITUTE($AQ8,CHAR(10)&amp;"~ ","")))/3)+IF(LEFT(TRIM($AQ8),2)="~ ",1,0)</f>
        <v>0</v>
      </c>
      <c r="I8" s="50" t="n">
        <f aca="false">((LEN($AQ8)-LEN(SUBSTITUTE($AQ8,CHAR(10)&amp;"! ","")))/3)+IF(LEFT(TRIM($AQ8),2)="! ",1,0)</f>
        <v>0</v>
      </c>
      <c r="J8" s="50" t="n">
        <f aca="false">((LEN($AQ8)-LEN(SUBSTITUTE($AQ8,CHAR(10)&amp;"x ","")))/3)+IF(LEFT(TRIM($AQ8),2)="x ",1,0)</f>
        <v>0</v>
      </c>
      <c r="K8" s="50" t="n">
        <f aca="false">SUM(F8:J8)</f>
        <v>7</v>
      </c>
      <c r="L8" s="51" t="n">
        <f aca="false">YEAR(D8)</f>
        <v>2023</v>
      </c>
      <c r="M8" s="51" t="str">
        <f aca="false">VLOOKUP(MONTH(D8),Static!$AJ$3:$AK$16,2,0)</f>
        <v>Jan</v>
      </c>
      <c r="N8" s="51" t="n">
        <f aca="false">WEEKNUM(D8,1)</f>
        <v>1</v>
      </c>
      <c r="O8" s="51" t="str">
        <f aca="false">IFERROR(INDEX(Static!$I$5:$L$15,MATCH(AE8,Static!$I$5:$I$15,0),3),"Z")</f>
        <v>A</v>
      </c>
      <c r="P8" s="51" t="str">
        <f aca="false">IFERROR(INDEX(Static!$I$5:$L$15,MATCH(AE8,Static!$I$5:$I$15,0),2),"Y")</f>
        <v>Y</v>
      </c>
      <c r="Q8" s="51" t="str">
        <f aca="false">IFERROR(INDEX(Static!$I$5:$L$15,MATCH(AE8,Static!$I$5:$I$15,0),4),"Y")</f>
        <v>Y</v>
      </c>
      <c r="R8" s="51" t="str">
        <f aca="false">IF(AND(AI8&lt;&gt;"",S8="N",$A$1&gt;=AI8-(7*$D$2)),"Y","N")</f>
        <v>N</v>
      </c>
      <c r="S8" s="51" t="str">
        <f aca="false">IF(AND(AI8&lt;&gt;"",$A$1&gt;=AI8),"Y","N")</f>
        <v>N</v>
      </c>
      <c r="T8" s="51" t="str">
        <f aca="false">IF(D8&gt;(($A$1-WEEKDAY($A$1,2))-7*$D$2),"Y","N")</f>
        <v>N</v>
      </c>
      <c r="U8" s="49" t="str">
        <f aca="false">IF(AR8&gt;0,"Y","N")</f>
        <v>Y</v>
      </c>
      <c r="V8" s="51" t="str">
        <f aca="false">IF(AND(T8="Y",U8="N"),"Y","N")</f>
        <v>N</v>
      </c>
      <c r="W8" s="52" t="str">
        <f aca="false">IF(OR(R8="Y",AND(U8="Y",S8="Y"), $A$1=AI8),"Y","N")</f>
        <v>N</v>
      </c>
      <c r="X8" s="49" t="str">
        <f aca="false">IF(OR(AC8="Y",AC8="N"),AC8,IF(AND(Q8="Y", OR(T8="Y",V8="Y", W8="Y")),"Y","N"))</f>
        <v>N</v>
      </c>
      <c r="Y8" s="51" t="str">
        <f aca="false">IF(OR(P8="Y", U8="Y",W8="Y"),"Y","N")</f>
        <v>Y</v>
      </c>
      <c r="Z8" s="53" t="str">
        <f aca="false">" -  "&amp;O8&amp;AM8&amp;AN8&amp;AF8</f>
        <v>-  Amgt03. Manage Leading</v>
      </c>
      <c r="AA8" s="51" t="str">
        <f aca="false">IFERROR(VLOOKUP(WEEKDAY(AB8),Static!$AL$3:$AM$11,2,0),"")</f>
        <v>Sun</v>
      </c>
      <c r="AB8" s="49" t="n">
        <f aca="false">IF(AH8&lt;&gt;"",AH8,AV8)</f>
        <v>44927</v>
      </c>
      <c r="AC8" s="54"/>
      <c r="AD8" s="54"/>
      <c r="AE8" s="55" t="s">
        <v>443</v>
      </c>
      <c r="AF8" s="56" t="s">
        <v>459</v>
      </c>
      <c r="AG8" s="58" t="s">
        <v>460</v>
      </c>
      <c r="AH8" s="54" t="n">
        <v>44927</v>
      </c>
      <c r="AI8" s="54"/>
      <c r="AJ8" s="57"/>
      <c r="AK8" s="54" t="s">
        <v>446</v>
      </c>
      <c r="AL8" s="54" t="s">
        <v>343</v>
      </c>
      <c r="AM8" s="54" t="s">
        <v>447</v>
      </c>
      <c r="AN8" s="54"/>
      <c r="AO8" s="58" t="s">
        <v>461</v>
      </c>
      <c r="AP8" s="56" t="s">
        <v>449</v>
      </c>
      <c r="AQ8" s="58" t="s">
        <v>462</v>
      </c>
      <c r="AR8" s="51" t="n">
        <f aca="false">SUM(F8:I8)</f>
        <v>7</v>
      </c>
      <c r="AS8" s="59" t="n">
        <f aca="false">IF(AF8="",1,IF(K8&lt;&gt;0,(G8*0.5+J8)/K8,1))</f>
        <v>0</v>
      </c>
      <c r="AT8" s="60" t="str">
        <f aca="false">IF(AP8="","",IF(ISERROR(FIND(CHAR(10),AP8,1)),AP8,LEFT(AP8,FIND(CHAR(10),AP8,1))))</f>
        <v>03-01-22: init</v>
      </c>
      <c r="AU8" s="61" t="str">
        <f aca="false">IF(AP8="","",IFERROR(RIGHT(AP8,LEN(AP8)-FIND("@@@",SUBSTITUTE(AP8,CHAR(10),"@@@",LEN(AP8)-LEN(SUBSTITUTE(AP8,CHAR(10),""))),1)),AP8))</f>
        <v>03-01-22: init</v>
      </c>
      <c r="AV8" s="62" t="n">
        <f aca="false">IFERROR(DATE(("20"&amp;MID(AT8,7,2))*1,MID(AT8,4,2)*1,MID(AT8,1,2)*1),"")</f>
        <v>44564</v>
      </c>
      <c r="AW8" s="62" t="n">
        <f aca="false">IFERROR(DATE(("20"&amp;MID(AU8,7,2))*1,MID(AU8,4,2)*1,MID(AU8,1,2)*1),"")</f>
        <v>44564</v>
      </c>
      <c r="AX8" s="56" t="s">
        <v>450</v>
      </c>
    </row>
    <row r="9" customFormat="false" ht="12.75" hidden="false" customHeight="true" outlineLevel="0" collapsed="false">
      <c r="A9" s="63"/>
      <c r="B9" s="49" t="str">
        <f aca="false">IF(AK9="","tbc",AK9)</f>
        <v>STE</v>
      </c>
      <c r="C9" s="49" t="str">
        <f aca="false">IF(AL9="","VNT",AL9)</f>
        <v>VNT</v>
      </c>
      <c r="D9" s="49" t="n">
        <f aca="false">MAX(AB9,IF(AW9="none",AB9,AW9))</f>
        <v>44927</v>
      </c>
      <c r="E9" s="50" t="n">
        <f aca="false">IFERROR(DAYS360(AB9,D9),0)</f>
        <v>0</v>
      </c>
      <c r="F9" s="50" t="n">
        <f aca="false">((LEN($AQ9)-LEN(SUBSTITUTE($AQ9,CHAR(10)&amp;". ","")))/3)+IF(LEFT(TRIM($AQ9),2)=". ",1,0)</f>
        <v>3</v>
      </c>
      <c r="G9" s="50" t="n">
        <f aca="false">((LEN($AQ9)-LEN(SUBSTITUTE($AQ9,CHAR(10)&amp;"/ ","")))/3)+IF(LEFT(TRIM($AQ9),2)="/ ",1,0)</f>
        <v>0</v>
      </c>
      <c r="H9" s="50" t="n">
        <f aca="false">((LEN($AQ9)-LEN(SUBSTITUTE($AQ9,CHAR(10)&amp;"~ ","")))/3)+IF(LEFT(TRIM($AQ9),2)="~ ",1,0)</f>
        <v>0</v>
      </c>
      <c r="I9" s="50" t="n">
        <f aca="false">((LEN($AQ9)-LEN(SUBSTITUTE($AQ9,CHAR(10)&amp;"! ","")))/3)+IF(LEFT(TRIM($AQ9),2)="! ",1,0)</f>
        <v>0</v>
      </c>
      <c r="J9" s="50" t="n">
        <f aca="false">((LEN($AQ9)-LEN(SUBSTITUTE($AQ9,CHAR(10)&amp;"x ","")))/3)+IF(LEFT(TRIM($AQ9),2)="x ",1,0)</f>
        <v>0</v>
      </c>
      <c r="K9" s="50" t="n">
        <f aca="false">SUM(F9:J9)</f>
        <v>3</v>
      </c>
      <c r="L9" s="51" t="n">
        <f aca="false">YEAR(D9)</f>
        <v>2023</v>
      </c>
      <c r="M9" s="51" t="str">
        <f aca="false">VLOOKUP(MONTH(D9),Static!$AJ$3:$AK$16,2,0)</f>
        <v>Jan</v>
      </c>
      <c r="N9" s="51" t="n">
        <f aca="false">WEEKNUM(D9,1)</f>
        <v>1</v>
      </c>
      <c r="O9" s="51" t="str">
        <f aca="false">IFERROR(INDEX(Static!$I$5:$L$15,MATCH(AE9,Static!$I$5:$I$15,0),3),"Z")</f>
        <v>A</v>
      </c>
      <c r="P9" s="51" t="str">
        <f aca="false">IFERROR(INDEX(Static!$I$5:$L$15,MATCH(AE9,Static!$I$5:$I$15,0),2),"Y")</f>
        <v>Y</v>
      </c>
      <c r="Q9" s="51" t="str">
        <f aca="false">IFERROR(INDEX(Static!$I$5:$L$15,MATCH(AE9,Static!$I$5:$I$15,0),4),"Y")</f>
        <v>Y</v>
      </c>
      <c r="R9" s="51" t="str">
        <f aca="false">IF(AND(AI9&lt;&gt;"",S9="N",$A$1&gt;=AI9-(7*$D$2)),"Y","N")</f>
        <v>N</v>
      </c>
      <c r="S9" s="51" t="str">
        <f aca="false">IF(AND(AI9&lt;&gt;"",$A$1&gt;=AI9),"Y","N")</f>
        <v>N</v>
      </c>
      <c r="T9" s="51" t="str">
        <f aca="false">IF(D9&gt;(($A$1-WEEKDAY($A$1,2))-7*$D$2),"Y","N")</f>
        <v>N</v>
      </c>
      <c r="U9" s="49" t="str">
        <f aca="false">IF(AR9&gt;0,"Y","N")</f>
        <v>Y</v>
      </c>
      <c r="V9" s="51" t="str">
        <f aca="false">IF(AND(T9="Y",U9="N"),"Y","N")</f>
        <v>N</v>
      </c>
      <c r="W9" s="52" t="str">
        <f aca="false">IF(OR(R9="Y",AND(U9="Y",S9="Y"), $A$1=AI9),"Y","N")</f>
        <v>N</v>
      </c>
      <c r="X9" s="49" t="str">
        <f aca="false">IF(OR(AC9="Y",AC9="N"),AC9,IF(AND(Q9="Y", OR(T9="Y",V9="Y", W9="Y")),"Y","N"))</f>
        <v>N</v>
      </c>
      <c r="Y9" s="51" t="str">
        <f aca="false">IF(OR(P9="Y", U9="Y",W9="Y"),"Y","N")</f>
        <v>Y</v>
      </c>
      <c r="Z9" s="53" t="str">
        <f aca="false">" -  "&amp;O9&amp;AM9&amp;AN9&amp;AF9</f>
        <v>-  Amgt04. Manage Controlling</v>
      </c>
      <c r="AA9" s="51" t="str">
        <f aca="false">IFERROR(VLOOKUP(WEEKDAY(AB9),Static!$AL$3:$AM$11,2,0),"")</f>
        <v>Sun</v>
      </c>
      <c r="AB9" s="49" t="n">
        <f aca="false">IF(AH9&lt;&gt;"",AH9,AV9)</f>
        <v>44927</v>
      </c>
      <c r="AC9" s="54"/>
      <c r="AD9" s="54"/>
      <c r="AE9" s="55" t="s">
        <v>443</v>
      </c>
      <c r="AF9" s="56" t="s">
        <v>463</v>
      </c>
      <c r="AG9" s="58" t="s">
        <v>464</v>
      </c>
      <c r="AH9" s="54" t="n">
        <v>44927</v>
      </c>
      <c r="AI9" s="54"/>
      <c r="AJ9" s="57"/>
      <c r="AK9" s="54" t="s">
        <v>446</v>
      </c>
      <c r="AL9" s="54" t="s">
        <v>343</v>
      </c>
      <c r="AM9" s="54" t="s">
        <v>447</v>
      </c>
      <c r="AN9" s="54"/>
      <c r="AO9" s="58" t="s">
        <v>465</v>
      </c>
      <c r="AP9" s="56" t="s">
        <v>449</v>
      </c>
      <c r="AQ9" s="58" t="s">
        <v>466</v>
      </c>
      <c r="AR9" s="51" t="n">
        <f aca="false">SUM(F9:I9)</f>
        <v>3</v>
      </c>
      <c r="AS9" s="59" t="n">
        <f aca="false">IF(AF9="",1,IF(K9&lt;&gt;0,(G9*0.5+J9)/K9,1))</f>
        <v>0</v>
      </c>
      <c r="AT9" s="60" t="str">
        <f aca="false">IF(AP9="","",IF(ISERROR(FIND(CHAR(10),AP9,1)),AP9,LEFT(AP9,FIND(CHAR(10),AP9,1))))</f>
        <v>03-01-22: init</v>
      </c>
      <c r="AU9" s="61" t="str">
        <f aca="false">IF(AP9="","",IFERROR(RIGHT(AP9,LEN(AP9)-FIND("@@@",SUBSTITUTE(AP9,CHAR(10),"@@@",LEN(AP9)-LEN(SUBSTITUTE(AP9,CHAR(10),""))),1)),AP9))</f>
        <v>03-01-22: init</v>
      </c>
      <c r="AV9" s="62" t="n">
        <f aca="false">IFERROR(DATE(("20"&amp;MID(AT9,7,2))*1,MID(AT9,4,2)*1,MID(AT9,1,2)*1),"")</f>
        <v>44564</v>
      </c>
      <c r="AW9" s="62" t="n">
        <f aca="false">IFERROR(DATE(("20"&amp;MID(AU9,7,2))*1,MID(AU9,4,2)*1,MID(AU9,1,2)*1),"")</f>
        <v>44564</v>
      </c>
      <c r="AX9" s="56" t="s">
        <v>450</v>
      </c>
    </row>
    <row r="10" customFormat="false" ht="12.75" hidden="false" customHeight="true" outlineLevel="0" collapsed="false">
      <c r="B10" s="49" t="str">
        <f aca="false">IF(AK10="","tbc",AK10)</f>
        <v>STE</v>
      </c>
      <c r="C10" s="49" t="str">
        <f aca="false">IF(AL10="","VNT",AL10)</f>
        <v>VNT</v>
      </c>
      <c r="D10" s="49" t="n">
        <f aca="false">MAX(AB10,IF(AW10="none",AB10,AW10))</f>
        <v>44927</v>
      </c>
      <c r="E10" s="50" t="n">
        <f aca="false">IFERROR(DAYS360(AB10,D10),0)</f>
        <v>0</v>
      </c>
      <c r="F10" s="50" t="n">
        <f aca="false">((LEN($AQ10)-LEN(SUBSTITUTE($AQ10,CHAR(10)&amp;". ","")))/3)+IF(LEFT(TRIM($AQ10),2)=". ",1,0)</f>
        <v>0</v>
      </c>
      <c r="G10" s="50" t="n">
        <f aca="false">((LEN($AQ10)-LEN(SUBSTITUTE($AQ10,CHAR(10)&amp;"/ ","")))/3)+IF(LEFT(TRIM($AQ10),2)="/ ",1,0)</f>
        <v>0</v>
      </c>
      <c r="H10" s="50" t="n">
        <f aca="false">((LEN($AQ10)-LEN(SUBSTITUTE($AQ10,CHAR(10)&amp;"~ ","")))/3)+IF(LEFT(TRIM($AQ10),2)="~ ",1,0)</f>
        <v>0</v>
      </c>
      <c r="I10" s="50" t="n">
        <f aca="false">((LEN($AQ10)-LEN(SUBSTITUTE($AQ10,CHAR(10)&amp;"! ","")))/3)+IF(LEFT(TRIM($AQ10),2)="! ",1,0)</f>
        <v>0</v>
      </c>
      <c r="J10" s="50" t="n">
        <f aca="false">((LEN($AQ10)-LEN(SUBSTITUTE($AQ10,CHAR(10)&amp;"x ","")))/3)+IF(LEFT(TRIM($AQ10),2)="x ",1,0)</f>
        <v>0</v>
      </c>
      <c r="K10" s="50" t="n">
        <f aca="false">SUM(F10:J10)</f>
        <v>0</v>
      </c>
      <c r="L10" s="51" t="n">
        <f aca="false">YEAR(D10)</f>
        <v>2023</v>
      </c>
      <c r="M10" s="51" t="str">
        <f aca="false">VLOOKUP(MONTH(D10),Static!$AJ$3:$AK$16,2,0)</f>
        <v>Jan</v>
      </c>
      <c r="N10" s="51" t="n">
        <f aca="false">WEEKNUM(D10,1)</f>
        <v>1</v>
      </c>
      <c r="O10" s="51" t="str">
        <f aca="false">IFERROR(INDEX(Static!$I$5:$L$15,MATCH(AE10,Static!$I$5:$I$15,0),3),"Z")</f>
        <v>A</v>
      </c>
      <c r="P10" s="51" t="str">
        <f aca="false">IFERROR(INDEX(Static!$I$5:$L$15,MATCH(AE10,Static!$I$5:$I$15,0),2),"Y")</f>
        <v>Y</v>
      </c>
      <c r="Q10" s="51" t="str">
        <f aca="false">IFERROR(INDEX(Static!$I$5:$L$15,MATCH(AE10,Static!$I$5:$I$15,0),4),"Y")</f>
        <v>Y</v>
      </c>
      <c r="R10" s="51" t="str">
        <f aca="false">IF(AND(AI10&lt;&gt;"",S10="N",$A$1&gt;=AI10-(7*$D$2)),"Y","N")</f>
        <v>N</v>
      </c>
      <c r="S10" s="51" t="str">
        <f aca="false">IF(AND(AI10&lt;&gt;"",$A$1&gt;=AI10),"Y","N")</f>
        <v>N</v>
      </c>
      <c r="T10" s="51" t="str">
        <f aca="false">IF(D10&gt;(($A$1-WEEKDAY($A$1,2))-7*$D$2),"Y","N")</f>
        <v>N</v>
      </c>
      <c r="U10" s="49" t="str">
        <f aca="false">IF(AR10&gt;0,"Y","N")</f>
        <v>N</v>
      </c>
      <c r="V10" s="51" t="str">
        <f aca="false">IF(AND(T10="Y",U10="N"),"Y","N")</f>
        <v>N</v>
      </c>
      <c r="W10" s="52" t="str">
        <f aca="false">IF(OR(R10="Y",AND(U10="Y",S10="Y"), $A$1=AI10),"Y","N")</f>
        <v>N</v>
      </c>
      <c r="X10" s="49" t="str">
        <f aca="false">IF(OR(AC10="Y",AC10="N"),AC10,IF(AND(Q10="Y", OR(T10="Y",V10="Y", W10="Y")),"Y","N"))</f>
        <v>N</v>
      </c>
      <c r="Y10" s="51" t="str">
        <f aca="false">IF(OR(P10="Y", U10="Y",W10="Y"),"Y","N")</f>
        <v>Y</v>
      </c>
      <c r="Z10" s="53" t="str">
        <f aca="false">" -  "&amp;O10&amp;AM10&amp;AN10&amp;AF10</f>
        <v>-  Amgt10. Manage Operations</v>
      </c>
      <c r="AA10" s="51" t="str">
        <f aca="false">IFERROR(VLOOKUP(WEEKDAY(AB10),Static!$AL$3:$AM$11,2,0),"")</f>
        <v>Sun</v>
      </c>
      <c r="AB10" s="49" t="n">
        <f aca="false">IF(AH10&lt;&gt;"",AH10,AV10)</f>
        <v>44927</v>
      </c>
      <c r="AC10" s="54"/>
      <c r="AD10" s="54"/>
      <c r="AE10" s="55" t="s">
        <v>443</v>
      </c>
      <c r="AF10" s="56" t="s">
        <v>467</v>
      </c>
      <c r="AG10" s="58" t="s">
        <v>468</v>
      </c>
      <c r="AH10" s="54" t="n">
        <v>44927</v>
      </c>
      <c r="AI10" s="54"/>
      <c r="AJ10" s="57"/>
      <c r="AK10" s="54" t="s">
        <v>446</v>
      </c>
      <c r="AL10" s="54" t="s">
        <v>343</v>
      </c>
      <c r="AM10" s="54" t="s">
        <v>447</v>
      </c>
      <c r="AN10" s="54"/>
      <c r="AO10" s="58" t="s">
        <v>448</v>
      </c>
      <c r="AP10" s="56" t="s">
        <v>449</v>
      </c>
      <c r="AQ10" s="58"/>
      <c r="AR10" s="51" t="n">
        <f aca="false">SUM(F10:I10)</f>
        <v>0</v>
      </c>
      <c r="AS10" s="59" t="n">
        <f aca="false">IF(AF10="",1,IF(K10&lt;&gt;0,(G10*0.5+J10)/K10,1))</f>
        <v>1</v>
      </c>
      <c r="AT10" s="60" t="str">
        <f aca="false">IF(AP10="","",IF(ISERROR(FIND(CHAR(10),AP10,1)),AP10,LEFT(AP10,FIND(CHAR(10),AP10,1))))</f>
        <v>03-01-22: init</v>
      </c>
      <c r="AU10" s="61" t="str">
        <f aca="false">IF(AP10="","",IFERROR(RIGHT(AP10,LEN(AP10)-FIND("@@@",SUBSTITUTE(AP10,CHAR(10),"@@@",LEN(AP10)-LEN(SUBSTITUTE(AP10,CHAR(10),""))),1)),AP10))</f>
        <v>03-01-22: init</v>
      </c>
      <c r="AV10" s="62" t="n">
        <f aca="false">IFERROR(DATE(("20"&amp;MID(AT10,7,2))*1,MID(AT10,4,2)*1,MID(AT10,1,2)*1),"")</f>
        <v>44564</v>
      </c>
      <c r="AW10" s="62" t="n">
        <f aca="false">IFERROR(DATE(("20"&amp;MID(AU10,7,2))*1,MID(AU10,4,2)*1,MID(AU10,1,2)*1),"")</f>
        <v>44564</v>
      </c>
      <c r="AX10" s="56" t="s">
        <v>450</v>
      </c>
    </row>
    <row r="11" customFormat="false" ht="12.75" hidden="false" customHeight="true" outlineLevel="0" collapsed="false">
      <c r="A11" s="63"/>
      <c r="B11" s="49" t="str">
        <f aca="false">IF(AK11="","tbc",AK11)</f>
        <v>STE</v>
      </c>
      <c r="C11" s="49" t="str">
        <f aca="false">IF(AL11="","VNT",AL11)</f>
        <v>VNT</v>
      </c>
      <c r="D11" s="49" t="n">
        <f aca="false">MAX(AB11,IF(AW11="none",AB11,AW11))</f>
        <v>44927</v>
      </c>
      <c r="E11" s="50" t="n">
        <f aca="false">IFERROR(DAYS360(AB11,D11),0)</f>
        <v>0</v>
      </c>
      <c r="F11" s="50" t="n">
        <f aca="false">((LEN($AQ11)-LEN(SUBSTITUTE($AQ11,CHAR(10)&amp;". ","")))/3)+IF(LEFT(TRIM($AQ11),2)=". ",1,0)</f>
        <v>1</v>
      </c>
      <c r="G11" s="50" t="n">
        <f aca="false">((LEN($AQ11)-LEN(SUBSTITUTE($AQ11,CHAR(10)&amp;"/ ","")))/3)+IF(LEFT(TRIM($AQ11),2)="/ ",1,0)</f>
        <v>0</v>
      </c>
      <c r="H11" s="50" t="n">
        <f aca="false">((LEN($AQ11)-LEN(SUBSTITUTE($AQ11,CHAR(10)&amp;"~ ","")))/3)+IF(LEFT(TRIM($AQ11),2)="~ ",1,0)</f>
        <v>0</v>
      </c>
      <c r="I11" s="50" t="n">
        <f aca="false">((LEN($AQ11)-LEN(SUBSTITUTE($AQ11,CHAR(10)&amp;"! ","")))/3)+IF(LEFT(TRIM($AQ11),2)="! ",1,0)</f>
        <v>0</v>
      </c>
      <c r="J11" s="50" t="n">
        <f aca="false">((LEN($AQ11)-LEN(SUBSTITUTE($AQ11,CHAR(10)&amp;"x ","")))/3)+IF(LEFT(TRIM($AQ11),2)="x ",1,0)</f>
        <v>0</v>
      </c>
      <c r="K11" s="50" t="n">
        <f aca="false">SUM(F11:J11)</f>
        <v>1</v>
      </c>
      <c r="L11" s="51" t="n">
        <f aca="false">YEAR(D11)</f>
        <v>2023</v>
      </c>
      <c r="M11" s="51" t="str">
        <f aca="false">VLOOKUP(MONTH(D11),Static!$AJ$3:$AK$16,2,0)</f>
        <v>Jan</v>
      </c>
      <c r="N11" s="51" t="n">
        <f aca="false">WEEKNUM(D11,1)</f>
        <v>1</v>
      </c>
      <c r="O11" s="51" t="str">
        <f aca="false">IFERROR(INDEX(Static!$I$5:$L$15,MATCH(AE11,Static!$I$5:$I$15,0),3),"Z")</f>
        <v>A</v>
      </c>
      <c r="P11" s="51" t="str">
        <f aca="false">IFERROR(INDEX(Static!$I$5:$L$15,MATCH(AE11,Static!$I$5:$I$15,0),2),"Y")</f>
        <v>Y</v>
      </c>
      <c r="Q11" s="51" t="str">
        <f aca="false">IFERROR(INDEX(Static!$I$5:$L$15,MATCH(AE11,Static!$I$5:$I$15,0),4),"Y")</f>
        <v>Y</v>
      </c>
      <c r="R11" s="51" t="str">
        <f aca="false">IF(AND(AI11&lt;&gt;"",S11="N",$A$1&gt;=AI11-(7*$D$2)),"Y","N")</f>
        <v>N</v>
      </c>
      <c r="S11" s="51" t="str">
        <f aca="false">IF(AND(AI11&lt;&gt;"",$A$1&gt;=AI11),"Y","N")</f>
        <v>N</v>
      </c>
      <c r="T11" s="51" t="str">
        <f aca="false">IF(D11&gt;(($A$1-WEEKDAY($A$1,2))-7*$D$2),"Y","N")</f>
        <v>N</v>
      </c>
      <c r="U11" s="49" t="str">
        <f aca="false">IF(AR11&gt;0,"Y","N")</f>
        <v>Y</v>
      </c>
      <c r="V11" s="51" t="str">
        <f aca="false">IF(AND(T11="Y",U11="N"),"Y","N")</f>
        <v>N</v>
      </c>
      <c r="W11" s="52" t="str">
        <f aca="false">IF(OR(R11="Y",AND(U11="Y",S11="Y"), $A$1=AI11),"Y","N")</f>
        <v>N</v>
      </c>
      <c r="X11" s="49" t="str">
        <f aca="false">IF(OR(AC11="Y",AC11="N"),AC11,IF(AND(Q11="Y", OR(T11="Y",V11="Y", W11="Y")),"Y","N"))</f>
        <v>N</v>
      </c>
      <c r="Y11" s="51" t="str">
        <f aca="false">IF(OR(P11="Y", U11="Y",W11="Y"),"Y","N")</f>
        <v>Y</v>
      </c>
      <c r="Z11" s="53" t="str">
        <f aca="false">" -  "&amp;O11&amp;AM11&amp;AN11&amp;AF11</f>
        <v>-  Amgt11. Manage Staff</v>
      </c>
      <c r="AA11" s="51" t="str">
        <f aca="false">IFERROR(VLOOKUP(WEEKDAY(AB11),Static!$AL$3:$AM$11,2,0),"")</f>
        <v>Sun</v>
      </c>
      <c r="AB11" s="49" t="n">
        <f aca="false">IF(AH11&lt;&gt;"",AH11,AV11)</f>
        <v>44927</v>
      </c>
      <c r="AC11" s="54"/>
      <c r="AD11" s="54"/>
      <c r="AE11" s="55" t="s">
        <v>443</v>
      </c>
      <c r="AF11" s="56" t="s">
        <v>469</v>
      </c>
      <c r="AG11" s="58" t="s">
        <v>470</v>
      </c>
      <c r="AH11" s="54" t="n">
        <v>44927</v>
      </c>
      <c r="AI11" s="54"/>
      <c r="AJ11" s="57"/>
      <c r="AK11" s="54" t="s">
        <v>446</v>
      </c>
      <c r="AL11" s="54" t="s">
        <v>343</v>
      </c>
      <c r="AM11" s="54" t="s">
        <v>447</v>
      </c>
      <c r="AN11" s="54"/>
      <c r="AO11" s="58" t="s">
        <v>471</v>
      </c>
      <c r="AP11" s="56" t="s">
        <v>449</v>
      </c>
      <c r="AQ11" s="58" t="s">
        <v>472</v>
      </c>
      <c r="AR11" s="51" t="n">
        <f aca="false">SUM(F11:I11)</f>
        <v>1</v>
      </c>
      <c r="AS11" s="59" t="n">
        <f aca="false">IF(AF11="",1,IF(K11&lt;&gt;0,(G11*0.5+J11)/K11,1))</f>
        <v>0</v>
      </c>
      <c r="AT11" s="60" t="str">
        <f aca="false">IF(AP11="","",IF(ISERROR(FIND(CHAR(10),AP11,1)),AP11,LEFT(AP11,FIND(CHAR(10),AP11,1))))</f>
        <v>03-01-22: init</v>
      </c>
      <c r="AU11" s="61" t="str">
        <f aca="false">IF(AP11="","",IFERROR(RIGHT(AP11,LEN(AP11)-FIND("@@@",SUBSTITUTE(AP11,CHAR(10),"@@@",LEN(AP11)-LEN(SUBSTITUTE(AP11,CHAR(10),""))),1)),AP11))</f>
        <v>03-01-22: init</v>
      </c>
      <c r="AV11" s="62" t="n">
        <f aca="false">IFERROR(DATE(("20"&amp;MID(AT11,7,2))*1,MID(AT11,4,2)*1,MID(AT11,1,2)*1),"")</f>
        <v>44564</v>
      </c>
      <c r="AW11" s="62" t="n">
        <f aca="false">IFERROR(DATE(("20"&amp;MID(AU11,7,2))*1,MID(AU11,4,2)*1,MID(AU11,1,2)*1),"")</f>
        <v>44564</v>
      </c>
      <c r="AX11" s="56" t="s">
        <v>450</v>
      </c>
    </row>
    <row r="12" customFormat="false" ht="12.75" hidden="false" customHeight="true" outlineLevel="0" collapsed="false">
      <c r="A12" s="63"/>
      <c r="B12" s="49" t="str">
        <f aca="false">IF(AK12="","tbc",AK12)</f>
        <v>STE</v>
      </c>
      <c r="C12" s="49" t="str">
        <f aca="false">IF(AL12="","VNT",AL12)</f>
        <v>VNT</v>
      </c>
      <c r="D12" s="49" t="n">
        <f aca="false">MAX(AB12,IF(AW12="none",AB12,AW12))</f>
        <v>44927</v>
      </c>
      <c r="E12" s="50" t="n">
        <f aca="false">IFERROR(DAYS360(AB12,D12),0)</f>
        <v>0</v>
      </c>
      <c r="F12" s="50" t="n">
        <f aca="false">((LEN($AQ12)-LEN(SUBSTITUTE($AQ12,CHAR(10)&amp;". ","")))/3)+IF(LEFT(TRIM($AQ12),2)=". ",1,0)</f>
        <v>1</v>
      </c>
      <c r="G12" s="50" t="n">
        <f aca="false">((LEN($AQ12)-LEN(SUBSTITUTE($AQ12,CHAR(10)&amp;"/ ","")))/3)+IF(LEFT(TRIM($AQ12),2)="/ ",1,0)</f>
        <v>0</v>
      </c>
      <c r="H12" s="50" t="n">
        <f aca="false">((LEN($AQ12)-LEN(SUBSTITUTE($AQ12,CHAR(10)&amp;"~ ","")))/3)+IF(LEFT(TRIM($AQ12),2)="~ ",1,0)</f>
        <v>0</v>
      </c>
      <c r="I12" s="50" t="n">
        <f aca="false">((LEN($AQ12)-LEN(SUBSTITUTE($AQ12,CHAR(10)&amp;"! ","")))/3)+IF(LEFT(TRIM($AQ12),2)="! ",1,0)</f>
        <v>0</v>
      </c>
      <c r="J12" s="50" t="n">
        <f aca="false">((LEN($AQ12)-LEN(SUBSTITUTE($AQ12,CHAR(10)&amp;"x ","")))/3)+IF(LEFT(TRIM($AQ12),2)="x ",1,0)</f>
        <v>0</v>
      </c>
      <c r="K12" s="50" t="n">
        <f aca="false">SUM(F12:J12)</f>
        <v>1</v>
      </c>
      <c r="L12" s="51" t="n">
        <f aca="false">YEAR(D12)</f>
        <v>2023</v>
      </c>
      <c r="M12" s="51" t="str">
        <f aca="false">VLOOKUP(MONTH(D12),Static!$AJ$3:$AK$16,2,0)</f>
        <v>Jan</v>
      </c>
      <c r="N12" s="51" t="n">
        <f aca="false">WEEKNUM(D12,1)</f>
        <v>1</v>
      </c>
      <c r="O12" s="51" t="str">
        <f aca="false">IFERROR(INDEX(Static!$I$5:$L$15,MATCH(AE12,Static!$I$5:$I$15,0),3),"Z")</f>
        <v>A</v>
      </c>
      <c r="P12" s="51" t="str">
        <f aca="false">IFERROR(INDEX(Static!$I$5:$L$15,MATCH(AE12,Static!$I$5:$I$15,0),2),"Y")</f>
        <v>Y</v>
      </c>
      <c r="Q12" s="51" t="str">
        <f aca="false">IFERROR(INDEX(Static!$I$5:$L$15,MATCH(AE12,Static!$I$5:$I$15,0),4),"Y")</f>
        <v>Y</v>
      </c>
      <c r="R12" s="51" t="str">
        <f aca="false">IF(AND(AI12&lt;&gt;"",S12="N",$A$1&gt;=AI12-(7*$D$2)),"Y","N")</f>
        <v>N</v>
      </c>
      <c r="S12" s="51" t="str">
        <f aca="false">IF(AND(AI12&lt;&gt;"",$A$1&gt;=AI12),"Y","N")</f>
        <v>N</v>
      </c>
      <c r="T12" s="51" t="str">
        <f aca="false">IF(D12&gt;(($A$1-WEEKDAY($A$1,2))-7*$D$2),"Y","N")</f>
        <v>N</v>
      </c>
      <c r="U12" s="49" t="str">
        <f aca="false">IF(AR12&gt;0,"Y","N")</f>
        <v>Y</v>
      </c>
      <c r="V12" s="51" t="str">
        <f aca="false">IF(AND(T12="Y",U12="N"),"Y","N")</f>
        <v>N</v>
      </c>
      <c r="W12" s="52" t="str">
        <f aca="false">IF(OR(R12="Y",AND(U12="Y",S12="Y"), $A$1=AI12),"Y","N")</f>
        <v>N</v>
      </c>
      <c r="X12" s="49" t="str">
        <f aca="false">IF(OR(AC12="Y",AC12="N"),AC12,IF(AND(Q12="Y", OR(T12="Y",V12="Y", W12="Y")),"Y","N"))</f>
        <v>N</v>
      </c>
      <c r="Y12" s="51" t="str">
        <f aca="false">IF(OR(P12="Y", U12="Y",W12="Y"),"Y","N")</f>
        <v>Y</v>
      </c>
      <c r="Z12" s="53" t="str">
        <f aca="false">" -  "&amp;O12&amp;AM12&amp;AN12&amp;AF12</f>
        <v>-  Amgt12. Manage Assets</v>
      </c>
      <c r="AA12" s="51" t="str">
        <f aca="false">IFERROR(VLOOKUP(WEEKDAY(AB12),Static!$AL$3:$AM$11,2,0),"")</f>
        <v>Sun</v>
      </c>
      <c r="AB12" s="49" t="n">
        <f aca="false">IF(AH12&lt;&gt;"",AH12,AV12)</f>
        <v>44927</v>
      </c>
      <c r="AC12" s="54"/>
      <c r="AD12" s="54"/>
      <c r="AE12" s="55" t="s">
        <v>443</v>
      </c>
      <c r="AF12" s="56" t="s">
        <v>473</v>
      </c>
      <c r="AG12" s="58" t="s">
        <v>474</v>
      </c>
      <c r="AH12" s="54" t="n">
        <v>44927</v>
      </c>
      <c r="AI12" s="54"/>
      <c r="AJ12" s="57"/>
      <c r="AK12" s="54" t="s">
        <v>446</v>
      </c>
      <c r="AL12" s="54" t="s">
        <v>343</v>
      </c>
      <c r="AM12" s="54" t="s">
        <v>447</v>
      </c>
      <c r="AN12" s="54"/>
      <c r="AO12" s="58" t="s">
        <v>475</v>
      </c>
      <c r="AP12" s="56" t="s">
        <v>449</v>
      </c>
      <c r="AQ12" s="58" t="s">
        <v>476</v>
      </c>
      <c r="AR12" s="51" t="n">
        <f aca="false">SUM(F12:I12)</f>
        <v>1</v>
      </c>
      <c r="AS12" s="59" t="n">
        <f aca="false">IF(AF12="",1,IF(K12&lt;&gt;0,(G12*0.5+J12)/K12,1))</f>
        <v>0</v>
      </c>
      <c r="AT12" s="60" t="str">
        <f aca="false">IF(AP12="","",IF(ISERROR(FIND(CHAR(10),AP12,1)),AP12,LEFT(AP12,FIND(CHAR(10),AP12,1))))</f>
        <v>03-01-22: init</v>
      </c>
      <c r="AU12" s="61" t="str">
        <f aca="false">IF(AP12="","",IFERROR(RIGHT(AP12,LEN(AP12)-FIND("@@@",SUBSTITUTE(AP12,CHAR(10),"@@@",LEN(AP12)-LEN(SUBSTITUTE(AP12,CHAR(10),""))),1)),AP12))</f>
        <v>03-01-22: init</v>
      </c>
      <c r="AV12" s="62" t="n">
        <f aca="false">IFERROR(DATE(("20"&amp;MID(AT12,7,2))*1,MID(AT12,4,2)*1,MID(AT12,1,2)*1),"")</f>
        <v>44564</v>
      </c>
      <c r="AW12" s="62" t="n">
        <f aca="false">IFERROR(DATE(("20"&amp;MID(AU12,7,2))*1,MID(AU12,4,2)*1,MID(AU12,1,2)*1),"")</f>
        <v>44564</v>
      </c>
      <c r="AX12" s="56" t="s">
        <v>450</v>
      </c>
    </row>
    <row r="13" customFormat="false" ht="12.75" hidden="false" customHeight="true" outlineLevel="0" collapsed="false">
      <c r="A13" s="63"/>
      <c r="B13" s="49" t="str">
        <f aca="false">IF(AK13="","tbc",AK13)</f>
        <v>STE</v>
      </c>
      <c r="C13" s="49" t="str">
        <f aca="false">IF(AL13="","VNT",AL13)</f>
        <v>VNT</v>
      </c>
      <c r="D13" s="49" t="n">
        <f aca="false">MAX(AB13,IF(AW13="none",AB13,AW13))</f>
        <v>44927</v>
      </c>
      <c r="E13" s="50" t="n">
        <f aca="false">IFERROR(DAYS360(AB13,D13),0)</f>
        <v>0</v>
      </c>
      <c r="F13" s="50" t="n">
        <f aca="false">((LEN($AQ13)-LEN(SUBSTITUTE($AQ13,CHAR(10)&amp;". ","")))/3)+IF(LEFT(TRIM($AQ13),2)=". ",1,0)</f>
        <v>1</v>
      </c>
      <c r="G13" s="50" t="n">
        <f aca="false">((LEN($AQ13)-LEN(SUBSTITUTE($AQ13,CHAR(10)&amp;"/ ","")))/3)+IF(LEFT(TRIM($AQ13),2)="/ ",1,0)</f>
        <v>0</v>
      </c>
      <c r="H13" s="50" t="n">
        <f aca="false">((LEN($AQ13)-LEN(SUBSTITUTE($AQ13,CHAR(10)&amp;"~ ","")))/3)+IF(LEFT(TRIM($AQ13),2)="~ ",1,0)</f>
        <v>0</v>
      </c>
      <c r="I13" s="50" t="n">
        <f aca="false">((LEN($AQ13)-LEN(SUBSTITUTE($AQ13,CHAR(10)&amp;"! ","")))/3)+IF(LEFT(TRIM($AQ13),2)="! ",1,0)</f>
        <v>0</v>
      </c>
      <c r="J13" s="50" t="n">
        <f aca="false">((LEN($AQ13)-LEN(SUBSTITUTE($AQ13,CHAR(10)&amp;"x ","")))/3)+IF(LEFT(TRIM($AQ13),2)="x ",1,0)</f>
        <v>0</v>
      </c>
      <c r="K13" s="50" t="n">
        <f aca="false">SUM(F13:J13)</f>
        <v>1</v>
      </c>
      <c r="L13" s="51" t="n">
        <f aca="false">YEAR(D13)</f>
        <v>2023</v>
      </c>
      <c r="M13" s="51" t="str">
        <f aca="false">VLOOKUP(MONTH(D13),Static!$AJ$3:$AK$16,2,0)</f>
        <v>Jan</v>
      </c>
      <c r="N13" s="51" t="n">
        <f aca="false">WEEKNUM(D13,1)</f>
        <v>1</v>
      </c>
      <c r="O13" s="51" t="str">
        <f aca="false">IFERROR(INDEX(Static!$I$5:$L$15,MATCH(AE13,Static!$I$5:$I$15,0),3),"Z")</f>
        <v>A</v>
      </c>
      <c r="P13" s="51" t="str">
        <f aca="false">IFERROR(INDEX(Static!$I$5:$L$15,MATCH(AE13,Static!$I$5:$I$15,0),2),"Y")</f>
        <v>Y</v>
      </c>
      <c r="Q13" s="51" t="str">
        <f aca="false">IFERROR(INDEX(Static!$I$5:$L$15,MATCH(AE13,Static!$I$5:$I$15,0),4),"Y")</f>
        <v>Y</v>
      </c>
      <c r="R13" s="51" t="str">
        <f aca="false">IF(AND(AI13&lt;&gt;"",S13="N",$A$1&gt;=AI13-(7*$D$2)),"Y","N")</f>
        <v>N</v>
      </c>
      <c r="S13" s="51" t="str">
        <f aca="false">IF(AND(AI13&lt;&gt;"",$A$1&gt;=AI13),"Y","N")</f>
        <v>N</v>
      </c>
      <c r="T13" s="51" t="str">
        <f aca="false">IF(D13&gt;(($A$1-WEEKDAY($A$1,2))-7*$D$2),"Y","N")</f>
        <v>N</v>
      </c>
      <c r="U13" s="49" t="str">
        <f aca="false">IF(AR13&gt;0,"Y","N")</f>
        <v>Y</v>
      </c>
      <c r="V13" s="51" t="str">
        <f aca="false">IF(AND(T13="Y",U13="N"),"Y","N")</f>
        <v>N</v>
      </c>
      <c r="W13" s="52" t="str">
        <f aca="false">IF(OR(R13="Y",AND(U13="Y",S13="Y"), $A$1=AI13),"Y","N")</f>
        <v>N</v>
      </c>
      <c r="X13" s="49" t="str">
        <f aca="false">IF(OR(AC13="Y",AC13="N"),AC13,IF(AND(Q13="Y", OR(T13="Y",V13="Y", W13="Y")),"Y","N"))</f>
        <v>N</v>
      </c>
      <c r="Y13" s="51" t="str">
        <f aca="false">IF(OR(P13="Y", U13="Y",W13="Y"),"Y","N")</f>
        <v>Y</v>
      </c>
      <c r="Z13" s="53" t="str">
        <f aca="false">" -  "&amp;O13&amp;AM13&amp;AN13&amp;AF13</f>
        <v>-  Amgt13. Manage Suppliers</v>
      </c>
      <c r="AA13" s="51" t="str">
        <f aca="false">IFERROR(VLOOKUP(WEEKDAY(AB13),Static!$AL$3:$AM$11,2,0),"")</f>
        <v>Sun</v>
      </c>
      <c r="AB13" s="49" t="n">
        <f aca="false">IF(AH13&lt;&gt;"",AH13,AV13)</f>
        <v>44927</v>
      </c>
      <c r="AC13" s="54"/>
      <c r="AD13" s="54"/>
      <c r="AE13" s="55" t="s">
        <v>443</v>
      </c>
      <c r="AF13" s="56" t="s">
        <v>477</v>
      </c>
      <c r="AG13" s="58" t="s">
        <v>478</v>
      </c>
      <c r="AH13" s="54" t="n">
        <v>44927</v>
      </c>
      <c r="AI13" s="54"/>
      <c r="AJ13" s="57"/>
      <c r="AK13" s="54" t="s">
        <v>446</v>
      </c>
      <c r="AL13" s="54" t="s">
        <v>343</v>
      </c>
      <c r="AM13" s="54" t="s">
        <v>447</v>
      </c>
      <c r="AN13" s="54"/>
      <c r="AO13" s="58" t="s">
        <v>479</v>
      </c>
      <c r="AP13" s="56" t="s">
        <v>449</v>
      </c>
      <c r="AQ13" s="58" t="s">
        <v>480</v>
      </c>
      <c r="AR13" s="51" t="n">
        <f aca="false">SUM(F13:I13)</f>
        <v>1</v>
      </c>
      <c r="AS13" s="59" t="n">
        <f aca="false">IF(AF13="",1,IF(K13&lt;&gt;0,(G13*0.5+J13)/K13,1))</f>
        <v>0</v>
      </c>
      <c r="AT13" s="60" t="str">
        <f aca="false">IF(AP13="","",IF(ISERROR(FIND(CHAR(10),AP13,1)),AP13,LEFT(AP13,FIND(CHAR(10),AP13,1))))</f>
        <v>03-01-22: init</v>
      </c>
      <c r="AU13" s="61" t="str">
        <f aca="false">IF(AP13="","",IFERROR(RIGHT(AP13,LEN(AP13)-FIND("@@@",SUBSTITUTE(AP13,CHAR(10),"@@@",LEN(AP13)-LEN(SUBSTITUTE(AP13,CHAR(10),""))),1)),AP13))</f>
        <v>03-01-22: init</v>
      </c>
      <c r="AV13" s="62" t="n">
        <f aca="false">IFERROR(DATE(("20"&amp;MID(AT13,7,2))*1,MID(AT13,4,2)*1,MID(AT13,1,2)*1),"")</f>
        <v>44564</v>
      </c>
      <c r="AW13" s="62" t="n">
        <f aca="false">IFERROR(DATE(("20"&amp;MID(AU13,7,2))*1,MID(AU13,4,2)*1,MID(AU13,1,2)*1),"")</f>
        <v>44564</v>
      </c>
      <c r="AX13" s="56" t="s">
        <v>450</v>
      </c>
    </row>
    <row r="14" customFormat="false" ht="12.75" hidden="false" customHeight="true" outlineLevel="0" collapsed="false">
      <c r="A14" s="63"/>
      <c r="B14" s="49" t="str">
        <f aca="false">IF(AK14="","tbc",AK14)</f>
        <v>STE</v>
      </c>
      <c r="C14" s="49" t="str">
        <f aca="false">IF(AL14="","VNT",AL14)</f>
        <v>VNT</v>
      </c>
      <c r="D14" s="49" t="n">
        <f aca="false">MAX(AB14,IF(AW14="none",AB14,AW14))</f>
        <v>44927</v>
      </c>
      <c r="E14" s="50" t="n">
        <f aca="false">IFERROR(DAYS360(AB14,D14),0)</f>
        <v>0</v>
      </c>
      <c r="F14" s="50" t="n">
        <f aca="false">((LEN($AQ14)-LEN(SUBSTITUTE($AQ14,CHAR(10)&amp;". ","")))/3)+IF(LEFT(TRIM($AQ14),2)=". ",1,0)</f>
        <v>1</v>
      </c>
      <c r="G14" s="50" t="n">
        <f aca="false">((LEN($AQ14)-LEN(SUBSTITUTE($AQ14,CHAR(10)&amp;"/ ","")))/3)+IF(LEFT(TRIM($AQ14),2)="/ ",1,0)</f>
        <v>0</v>
      </c>
      <c r="H14" s="50" t="n">
        <f aca="false">((LEN($AQ14)-LEN(SUBSTITUTE($AQ14,CHAR(10)&amp;"~ ","")))/3)+IF(LEFT(TRIM($AQ14),2)="~ ",1,0)</f>
        <v>0</v>
      </c>
      <c r="I14" s="50" t="n">
        <f aca="false">((LEN($AQ14)-LEN(SUBSTITUTE($AQ14,CHAR(10)&amp;"! ","")))/3)+IF(LEFT(TRIM($AQ14),2)="! ",1,0)</f>
        <v>0</v>
      </c>
      <c r="J14" s="50" t="n">
        <f aca="false">((LEN($AQ14)-LEN(SUBSTITUTE($AQ14,CHAR(10)&amp;"x ","")))/3)+IF(LEFT(TRIM($AQ14),2)="x ",1,0)</f>
        <v>0</v>
      </c>
      <c r="K14" s="50" t="n">
        <f aca="false">SUM(F14:J14)</f>
        <v>1</v>
      </c>
      <c r="L14" s="51" t="n">
        <f aca="false">YEAR(D14)</f>
        <v>2023</v>
      </c>
      <c r="M14" s="51" t="str">
        <f aca="false">VLOOKUP(MONTH(D14),Static!$AJ$3:$AK$16,2,0)</f>
        <v>Jan</v>
      </c>
      <c r="N14" s="51" t="n">
        <f aca="false">WEEKNUM(D14,1)</f>
        <v>1</v>
      </c>
      <c r="O14" s="51" t="str">
        <f aca="false">IFERROR(INDEX(Static!$I$5:$L$15,MATCH(AE14,Static!$I$5:$I$15,0),3),"Z")</f>
        <v>A</v>
      </c>
      <c r="P14" s="51" t="str">
        <f aca="false">IFERROR(INDEX(Static!$I$5:$L$15,MATCH(AE14,Static!$I$5:$I$15,0),2),"Y")</f>
        <v>Y</v>
      </c>
      <c r="Q14" s="51" t="str">
        <f aca="false">IFERROR(INDEX(Static!$I$5:$L$15,MATCH(AE14,Static!$I$5:$I$15,0),4),"Y")</f>
        <v>Y</v>
      </c>
      <c r="R14" s="51" t="str">
        <f aca="false">IF(AND(AI14&lt;&gt;"",S14="N",$A$1&gt;=AI14-(7*$D$2)),"Y","N")</f>
        <v>N</v>
      </c>
      <c r="S14" s="51" t="str">
        <f aca="false">IF(AND(AI14&lt;&gt;"",$A$1&gt;=AI14),"Y","N")</f>
        <v>N</v>
      </c>
      <c r="T14" s="51" t="str">
        <f aca="false">IF(D14&gt;(($A$1-WEEKDAY($A$1,2))-7*$D$2),"Y","N")</f>
        <v>N</v>
      </c>
      <c r="U14" s="49" t="str">
        <f aca="false">IF(AR14&gt;0,"Y","N")</f>
        <v>Y</v>
      </c>
      <c r="V14" s="51" t="str">
        <f aca="false">IF(AND(T14="Y",U14="N"),"Y","N")</f>
        <v>N</v>
      </c>
      <c r="W14" s="52" t="str">
        <f aca="false">IF(OR(R14="Y",AND(U14="Y",S14="Y"), $A$1=AI14),"Y","N")</f>
        <v>N</v>
      </c>
      <c r="X14" s="49" t="str">
        <f aca="false">IF(OR(AC14="Y",AC14="N"),AC14,IF(AND(Q14="Y", OR(T14="Y",V14="Y", W14="Y")),"Y","N"))</f>
        <v>N</v>
      </c>
      <c r="Y14" s="51" t="str">
        <f aca="false">IF(OR(P14="Y", U14="Y",W14="Y"),"Y","N")</f>
        <v>Y</v>
      </c>
      <c r="Z14" s="53" t="str">
        <f aca="false">" -  "&amp;O14&amp;AM14&amp;AN14&amp;AF14</f>
        <v>-  Amgt20. Manage Services</v>
      </c>
      <c r="AA14" s="51" t="str">
        <f aca="false">IFERROR(VLOOKUP(WEEKDAY(AB14),Static!$AL$3:$AM$11,2,0),"")</f>
        <v>Sun</v>
      </c>
      <c r="AB14" s="49" t="n">
        <f aca="false">IF(AH14&lt;&gt;"",AH14,AV14)</f>
        <v>44927</v>
      </c>
      <c r="AC14" s="54"/>
      <c r="AD14" s="54"/>
      <c r="AE14" s="55" t="s">
        <v>443</v>
      </c>
      <c r="AF14" s="56" t="s">
        <v>481</v>
      </c>
      <c r="AG14" s="58" t="s">
        <v>482</v>
      </c>
      <c r="AH14" s="54" t="n">
        <v>44927</v>
      </c>
      <c r="AI14" s="54"/>
      <c r="AJ14" s="57"/>
      <c r="AK14" s="54" t="s">
        <v>446</v>
      </c>
      <c r="AL14" s="54" t="s">
        <v>343</v>
      </c>
      <c r="AM14" s="54" t="s">
        <v>447</v>
      </c>
      <c r="AN14" s="54"/>
      <c r="AO14" s="58" t="s">
        <v>448</v>
      </c>
      <c r="AP14" s="56" t="s">
        <v>449</v>
      </c>
      <c r="AQ14" s="58" t="s">
        <v>483</v>
      </c>
      <c r="AR14" s="51" t="n">
        <f aca="false">SUM(F14:I14)</f>
        <v>1</v>
      </c>
      <c r="AS14" s="59" t="n">
        <f aca="false">IF(AF14="",1,IF(K14&lt;&gt;0,(G14*0.5+J14)/K14,1))</f>
        <v>0</v>
      </c>
      <c r="AT14" s="60" t="str">
        <f aca="false">IF(AP14="","",IF(ISERROR(FIND(CHAR(10),AP14,1)),AP14,LEFT(AP14,FIND(CHAR(10),AP14,1))))</f>
        <v>03-01-22: init</v>
      </c>
      <c r="AU14" s="61" t="str">
        <f aca="false">IF(AP14="","",IFERROR(RIGHT(AP14,LEN(AP14)-FIND("@@@",SUBSTITUTE(AP14,CHAR(10),"@@@",LEN(AP14)-LEN(SUBSTITUTE(AP14,CHAR(10),""))),1)),AP14))</f>
        <v>03-01-22: init</v>
      </c>
      <c r="AV14" s="62" t="n">
        <f aca="false">IFERROR(DATE(("20"&amp;MID(AT14,7,2))*1,MID(AT14,4,2)*1,MID(AT14,1,2)*1),"")</f>
        <v>44564</v>
      </c>
      <c r="AW14" s="62" t="n">
        <f aca="false">IFERROR(DATE(("20"&amp;MID(AU14,7,2))*1,MID(AU14,4,2)*1,MID(AU14,1,2)*1),"")</f>
        <v>44564</v>
      </c>
      <c r="AX14" s="56" t="s">
        <v>450</v>
      </c>
    </row>
    <row r="15" customFormat="false" ht="12.75" hidden="false" customHeight="true" outlineLevel="0" collapsed="false">
      <c r="A15" s="63"/>
      <c r="B15" s="49" t="str">
        <f aca="false">IF(AK15="","tbc",AK15)</f>
        <v>STE</v>
      </c>
      <c r="C15" s="49" t="str">
        <f aca="false">IF(AL15="","VNT",AL15)</f>
        <v>VNT</v>
      </c>
      <c r="D15" s="49" t="n">
        <f aca="false">MAX(AB15,IF(AW15="none",AB15,AW15))</f>
        <v>44927</v>
      </c>
      <c r="E15" s="50" t="n">
        <f aca="false">IFERROR(DAYS360(AB15,D15),0)</f>
        <v>0</v>
      </c>
      <c r="F15" s="50" t="n">
        <f aca="false">((LEN($AQ15)-LEN(SUBSTITUTE($AQ15,CHAR(10)&amp;". ","")))/3)+IF(LEFT(TRIM($AQ15),2)=". ",1,0)</f>
        <v>1</v>
      </c>
      <c r="G15" s="50" t="n">
        <f aca="false">((LEN($AQ15)-LEN(SUBSTITUTE($AQ15,CHAR(10)&amp;"/ ","")))/3)+IF(LEFT(TRIM($AQ15),2)="/ ",1,0)</f>
        <v>0</v>
      </c>
      <c r="H15" s="50" t="n">
        <f aca="false">((LEN($AQ15)-LEN(SUBSTITUTE($AQ15,CHAR(10)&amp;"~ ","")))/3)+IF(LEFT(TRIM($AQ15),2)="~ ",1,0)</f>
        <v>0</v>
      </c>
      <c r="I15" s="50" t="n">
        <f aca="false">((LEN($AQ15)-LEN(SUBSTITUTE($AQ15,CHAR(10)&amp;"! ","")))/3)+IF(LEFT(TRIM($AQ15),2)="! ",1,0)</f>
        <v>0</v>
      </c>
      <c r="J15" s="50" t="n">
        <f aca="false">((LEN($AQ15)-LEN(SUBSTITUTE($AQ15,CHAR(10)&amp;"x ","")))/3)+IF(LEFT(TRIM($AQ15),2)="x ",1,0)</f>
        <v>0</v>
      </c>
      <c r="K15" s="50" t="n">
        <f aca="false">SUM(F15:J15)</f>
        <v>1</v>
      </c>
      <c r="L15" s="51" t="n">
        <f aca="false">YEAR(D15)</f>
        <v>2023</v>
      </c>
      <c r="M15" s="51" t="str">
        <f aca="false">VLOOKUP(MONTH(D15),Static!$AJ$3:$AK$16,2,0)</f>
        <v>Jan</v>
      </c>
      <c r="N15" s="51" t="n">
        <f aca="false">WEEKNUM(D15,1)</f>
        <v>1</v>
      </c>
      <c r="O15" s="51" t="str">
        <f aca="false">IFERROR(INDEX(Static!$I$5:$L$15,MATCH(AE15,Static!$I$5:$I$15,0),3),"Z")</f>
        <v>A</v>
      </c>
      <c r="P15" s="51" t="str">
        <f aca="false">IFERROR(INDEX(Static!$I$5:$L$15,MATCH(AE15,Static!$I$5:$I$15,0),2),"Y")</f>
        <v>Y</v>
      </c>
      <c r="Q15" s="51" t="str">
        <f aca="false">IFERROR(INDEX(Static!$I$5:$L$15,MATCH(AE15,Static!$I$5:$I$15,0),4),"Y")</f>
        <v>Y</v>
      </c>
      <c r="R15" s="51" t="str">
        <f aca="false">IF(AND(AI15&lt;&gt;"",S15="N",$A$1&gt;=AI15-(7*$D$2)),"Y","N")</f>
        <v>N</v>
      </c>
      <c r="S15" s="51" t="str">
        <f aca="false">IF(AND(AI15&lt;&gt;"",$A$1&gt;=AI15),"Y","N")</f>
        <v>N</v>
      </c>
      <c r="T15" s="51" t="str">
        <f aca="false">IF(D15&gt;(($A$1-WEEKDAY($A$1,2))-7*$D$2),"Y","N")</f>
        <v>N</v>
      </c>
      <c r="U15" s="49" t="str">
        <f aca="false">IF(AR15&gt;0,"Y","N")</f>
        <v>Y</v>
      </c>
      <c r="V15" s="51" t="str">
        <f aca="false">IF(AND(T15="Y",U15="N"),"Y","N")</f>
        <v>N</v>
      </c>
      <c r="W15" s="52" t="str">
        <f aca="false">IF(OR(R15="Y",AND(U15="Y",S15="Y"), $A$1=AI15),"Y","N")</f>
        <v>N</v>
      </c>
      <c r="X15" s="49" t="str">
        <f aca="false">IF(OR(AC15="Y",AC15="N"),AC15,IF(AND(Q15="Y", OR(T15="Y",V15="Y", W15="Y")),"Y","N"))</f>
        <v>N</v>
      </c>
      <c r="Y15" s="51" t="str">
        <f aca="false">IF(OR(P15="Y", U15="Y",W15="Y"),"Y","N")</f>
        <v>Y</v>
      </c>
      <c r="Z15" s="53" t="str">
        <f aca="false">" -  "&amp;O15&amp;AM15&amp;AN15&amp;AF15</f>
        <v>-  Amgt30. Manage Clients</v>
      </c>
      <c r="AA15" s="51" t="str">
        <f aca="false">IFERROR(VLOOKUP(WEEKDAY(AB15),Static!$AL$3:$AM$11,2,0),"")</f>
        <v>Sun</v>
      </c>
      <c r="AB15" s="49" t="n">
        <f aca="false">IF(AH15&lt;&gt;"",AH15,AV15)</f>
        <v>44927</v>
      </c>
      <c r="AC15" s="54"/>
      <c r="AD15" s="54"/>
      <c r="AE15" s="55" t="s">
        <v>443</v>
      </c>
      <c r="AF15" s="56" t="s">
        <v>484</v>
      </c>
      <c r="AG15" s="58" t="s">
        <v>485</v>
      </c>
      <c r="AH15" s="54" t="n">
        <v>44927</v>
      </c>
      <c r="AI15" s="54"/>
      <c r="AJ15" s="57"/>
      <c r="AK15" s="54" t="s">
        <v>446</v>
      </c>
      <c r="AL15" s="54" t="s">
        <v>343</v>
      </c>
      <c r="AM15" s="54" t="s">
        <v>447</v>
      </c>
      <c r="AN15" s="54"/>
      <c r="AO15" s="58" t="s">
        <v>448</v>
      </c>
      <c r="AP15" s="56" t="s">
        <v>449</v>
      </c>
      <c r="AQ15" s="58" t="s">
        <v>486</v>
      </c>
      <c r="AR15" s="51" t="n">
        <f aca="false">SUM(F15:I15)</f>
        <v>1</v>
      </c>
      <c r="AS15" s="59" t="n">
        <f aca="false">IF(AF15="",1,IF(K15&lt;&gt;0,(G15*0.5+J15)/K15,1))</f>
        <v>0</v>
      </c>
      <c r="AT15" s="60" t="str">
        <f aca="false">IF(AP15="","",IF(ISERROR(FIND(CHAR(10),AP15,1)),AP15,LEFT(AP15,FIND(CHAR(10),AP15,1))))</f>
        <v>03-01-22: init</v>
      </c>
      <c r="AU15" s="61" t="str">
        <f aca="false">IF(AP15="","",IFERROR(RIGHT(AP15,LEN(AP15)-FIND("@@@",SUBSTITUTE(AP15,CHAR(10),"@@@",LEN(AP15)-LEN(SUBSTITUTE(AP15,CHAR(10),""))),1)),AP15))</f>
        <v>03-01-22: init</v>
      </c>
      <c r="AV15" s="62" t="n">
        <f aca="false">IFERROR(DATE(("20"&amp;MID(AT15,7,2))*1,MID(AT15,4,2)*1,MID(AT15,1,2)*1),"")</f>
        <v>44564</v>
      </c>
      <c r="AW15" s="62" t="n">
        <f aca="false">IFERROR(DATE(("20"&amp;MID(AU15,7,2))*1,MID(AU15,4,2)*1,MID(AU15,1,2)*1),"")</f>
        <v>44564</v>
      </c>
      <c r="AX15" s="56" t="s">
        <v>450</v>
      </c>
    </row>
    <row r="16" customFormat="false" ht="12.75" hidden="false" customHeight="true" outlineLevel="0" collapsed="false">
      <c r="A16" s="63"/>
      <c r="B16" s="49" t="str">
        <f aca="false">IF(AK16="","tbc",AK16)</f>
        <v>STE</v>
      </c>
      <c r="C16" s="49" t="str">
        <f aca="false">IF(AL16="","VNT",AL16)</f>
        <v>VNT</v>
      </c>
      <c r="D16" s="49" t="n">
        <f aca="false">MAX(AB16,IF(AW16="none",AB16,AW16))</f>
        <v>44927</v>
      </c>
      <c r="E16" s="50" t="n">
        <f aca="false">IFERROR(DAYS360(AB16,D16),0)</f>
        <v>0</v>
      </c>
      <c r="F16" s="50" t="n">
        <f aca="false">((LEN($AQ16)-LEN(SUBSTITUTE($AQ16,CHAR(10)&amp;". ","")))/3)+IF(LEFT(TRIM($AQ16),2)=". ",1,0)</f>
        <v>1</v>
      </c>
      <c r="G16" s="50" t="n">
        <f aca="false">((LEN($AQ16)-LEN(SUBSTITUTE($AQ16,CHAR(10)&amp;"/ ","")))/3)+IF(LEFT(TRIM($AQ16),2)="/ ",1,0)</f>
        <v>0</v>
      </c>
      <c r="H16" s="50" t="n">
        <f aca="false">((LEN($AQ16)-LEN(SUBSTITUTE($AQ16,CHAR(10)&amp;"~ ","")))/3)+IF(LEFT(TRIM($AQ16),2)="~ ",1,0)</f>
        <v>0</v>
      </c>
      <c r="I16" s="50" t="n">
        <f aca="false">((LEN($AQ16)-LEN(SUBSTITUTE($AQ16,CHAR(10)&amp;"! ","")))/3)+IF(LEFT(TRIM($AQ16),2)="! ",1,0)</f>
        <v>0</v>
      </c>
      <c r="J16" s="50" t="n">
        <f aca="false">((LEN($AQ16)-LEN(SUBSTITUTE($AQ16,CHAR(10)&amp;"x ","")))/3)+IF(LEFT(TRIM($AQ16),2)="x ",1,0)</f>
        <v>0</v>
      </c>
      <c r="K16" s="50" t="n">
        <f aca="false">SUM(F16:J16)</f>
        <v>1</v>
      </c>
      <c r="L16" s="51" t="n">
        <f aca="false">YEAR(D16)</f>
        <v>2023</v>
      </c>
      <c r="M16" s="51" t="str">
        <f aca="false">VLOOKUP(MONTH(D16),Static!$AJ$3:$AK$16,2,0)</f>
        <v>Jan</v>
      </c>
      <c r="N16" s="51" t="n">
        <f aca="false">WEEKNUM(D16,1)</f>
        <v>1</v>
      </c>
      <c r="O16" s="51" t="str">
        <f aca="false">IFERROR(INDEX(Static!$I$5:$L$15,MATCH(AE16,Static!$I$5:$I$15,0),3),"Z")</f>
        <v>A</v>
      </c>
      <c r="P16" s="51" t="str">
        <f aca="false">IFERROR(INDEX(Static!$I$5:$L$15,MATCH(AE16,Static!$I$5:$I$15,0),2),"Y")</f>
        <v>Y</v>
      </c>
      <c r="Q16" s="51" t="str">
        <f aca="false">IFERROR(INDEX(Static!$I$5:$L$15,MATCH(AE16,Static!$I$5:$I$15,0),4),"Y")</f>
        <v>Y</v>
      </c>
      <c r="R16" s="51" t="str">
        <f aca="false">IF(AND(AI16&lt;&gt;"",S16="N",$A$1&gt;=AI16-(7*$D$2)),"Y","N")</f>
        <v>N</v>
      </c>
      <c r="S16" s="51" t="str">
        <f aca="false">IF(AND(AI16&lt;&gt;"",$A$1&gt;=AI16),"Y","N")</f>
        <v>N</v>
      </c>
      <c r="T16" s="51" t="str">
        <f aca="false">IF(D16&gt;(($A$1-WEEKDAY($A$1,2))-7*$D$2),"Y","N")</f>
        <v>N</v>
      </c>
      <c r="U16" s="49" t="str">
        <f aca="false">IF(AR16&gt;0,"Y","N")</f>
        <v>Y</v>
      </c>
      <c r="V16" s="51" t="str">
        <f aca="false">IF(AND(T16="Y",U16="N"),"Y","N")</f>
        <v>N</v>
      </c>
      <c r="W16" s="52" t="str">
        <f aca="false">IF(OR(R16="Y",AND(U16="Y",S16="Y"), $A$1=AI16),"Y","N")</f>
        <v>N</v>
      </c>
      <c r="X16" s="49" t="str">
        <f aca="false">IF(OR(AC16="Y",AC16="N"),AC16,IF(AND(Q16="Y", OR(T16="Y",V16="Y", W16="Y")),"Y","N"))</f>
        <v>N</v>
      </c>
      <c r="Y16" s="51" t="str">
        <f aca="false">IF(OR(P16="Y", U16="Y",W16="Y"),"Y","N")</f>
        <v>Y</v>
      </c>
      <c r="Z16" s="53" t="str">
        <f aca="false">" -  "&amp;O16&amp;AM16&amp;AN16&amp;AF16</f>
        <v>-  Amgt40. Manage Environment</v>
      </c>
      <c r="AA16" s="51" t="str">
        <f aca="false">IFERROR(VLOOKUP(WEEKDAY(AB16),Static!$AL$3:$AM$11,2,0),"")</f>
        <v>Sun</v>
      </c>
      <c r="AB16" s="49" t="n">
        <f aca="false">IF(AH16&lt;&gt;"",AH16,AV16)</f>
        <v>44927</v>
      </c>
      <c r="AC16" s="54"/>
      <c r="AD16" s="54"/>
      <c r="AE16" s="55" t="s">
        <v>443</v>
      </c>
      <c r="AF16" s="56" t="s">
        <v>487</v>
      </c>
      <c r="AG16" s="58" t="s">
        <v>488</v>
      </c>
      <c r="AH16" s="54" t="n">
        <v>44927</v>
      </c>
      <c r="AI16" s="54"/>
      <c r="AJ16" s="57"/>
      <c r="AK16" s="54" t="s">
        <v>446</v>
      </c>
      <c r="AL16" s="54" t="s">
        <v>343</v>
      </c>
      <c r="AM16" s="54" t="s">
        <v>447</v>
      </c>
      <c r="AN16" s="54"/>
      <c r="AO16" s="58" t="s">
        <v>448</v>
      </c>
      <c r="AP16" s="56" t="s">
        <v>449</v>
      </c>
      <c r="AQ16" s="58" t="s">
        <v>489</v>
      </c>
      <c r="AR16" s="51" t="n">
        <f aca="false">SUM(F16:I16)</f>
        <v>1</v>
      </c>
      <c r="AS16" s="59" t="n">
        <f aca="false">IF(AF16="",1,IF(K16&lt;&gt;0,(G16*0.5+J16)/K16,1))</f>
        <v>0</v>
      </c>
      <c r="AT16" s="60" t="str">
        <f aca="false">IF(AP16="","",IF(ISERROR(FIND(CHAR(10),AP16,1)),AP16,LEFT(AP16,FIND(CHAR(10),AP16,1))))</f>
        <v>03-01-22: init</v>
      </c>
      <c r="AU16" s="61" t="str">
        <f aca="false">IF(AP16="","",IFERROR(RIGHT(AP16,LEN(AP16)-FIND("@@@",SUBSTITUTE(AP16,CHAR(10),"@@@",LEN(AP16)-LEN(SUBSTITUTE(AP16,CHAR(10),""))),1)),AP16))</f>
        <v>03-01-22: init</v>
      </c>
      <c r="AV16" s="62" t="n">
        <f aca="false">IFERROR(DATE(("20"&amp;MID(AT16,7,2))*1,MID(AT16,4,2)*1,MID(AT16,1,2)*1),"")</f>
        <v>44564</v>
      </c>
      <c r="AW16" s="62" t="n">
        <f aca="false">IFERROR(DATE(("20"&amp;MID(AU16,7,2))*1,MID(AU16,4,2)*1,MID(AU16,1,2)*1),"")</f>
        <v>44564</v>
      </c>
      <c r="AX16" s="56" t="s">
        <v>450</v>
      </c>
    </row>
    <row r="17" customFormat="false" ht="12.75" hidden="false" customHeight="true" outlineLevel="0" collapsed="false">
      <c r="A17" s="63"/>
      <c r="B17" s="49" t="str">
        <f aca="false">IF(AK17="","tbc",AK17)</f>
        <v>STE</v>
      </c>
      <c r="C17" s="49" t="str">
        <f aca="false">IF(AL17="","VNT",AL17)</f>
        <v>VNT</v>
      </c>
      <c r="D17" s="49" t="n">
        <f aca="false">MAX(AB17,IF(AW17="none",AB17,AW17))</f>
        <v>44927</v>
      </c>
      <c r="E17" s="50" t="n">
        <f aca="false">IFERROR(DAYS360(AB17,D17),0)</f>
        <v>0</v>
      </c>
      <c r="F17" s="50" t="n">
        <f aca="false">((LEN($AQ17)-LEN(SUBSTITUTE($AQ17,CHAR(10)&amp;". ","")))/3)+IF(LEFT(TRIM($AQ17),2)=". ",1,0)</f>
        <v>2</v>
      </c>
      <c r="G17" s="50" t="n">
        <f aca="false">((LEN($AQ17)-LEN(SUBSTITUTE($AQ17,CHAR(10)&amp;"/ ","")))/3)+IF(LEFT(TRIM($AQ17),2)="/ ",1,0)</f>
        <v>0</v>
      </c>
      <c r="H17" s="50" t="n">
        <f aca="false">((LEN($AQ17)-LEN(SUBSTITUTE($AQ17,CHAR(10)&amp;"~ ","")))/3)+IF(LEFT(TRIM($AQ17),2)="~ ",1,0)</f>
        <v>0</v>
      </c>
      <c r="I17" s="50" t="n">
        <f aca="false">((LEN($AQ17)-LEN(SUBSTITUTE($AQ17,CHAR(10)&amp;"! ","")))/3)+IF(LEFT(TRIM($AQ17),2)="! ",1,0)</f>
        <v>0</v>
      </c>
      <c r="J17" s="50" t="n">
        <f aca="false">((LEN($AQ17)-LEN(SUBSTITUTE($AQ17,CHAR(10)&amp;"x ","")))/3)+IF(LEFT(TRIM($AQ17),2)="x ",1,0)</f>
        <v>0</v>
      </c>
      <c r="K17" s="50" t="n">
        <f aca="false">SUM(F17:J17)</f>
        <v>2</v>
      </c>
      <c r="L17" s="51" t="n">
        <f aca="false">YEAR(D17)</f>
        <v>2023</v>
      </c>
      <c r="M17" s="51" t="str">
        <f aca="false">VLOOKUP(MONTH(D17),Static!$AJ$3:$AK$16,2,0)</f>
        <v>Jan</v>
      </c>
      <c r="N17" s="51" t="n">
        <f aca="false">WEEKNUM(D17,1)</f>
        <v>1</v>
      </c>
      <c r="O17" s="51" t="str">
        <f aca="false">IFERROR(INDEX(Static!$I$5:$L$15,MATCH(AE17,Static!$I$5:$I$15,0),3),"Z")</f>
        <v>A</v>
      </c>
      <c r="P17" s="51" t="str">
        <f aca="false">IFERROR(INDEX(Static!$I$5:$L$15,MATCH(AE17,Static!$I$5:$I$15,0),2),"Y")</f>
        <v>Y</v>
      </c>
      <c r="Q17" s="51" t="str">
        <f aca="false">IFERROR(INDEX(Static!$I$5:$L$15,MATCH(AE17,Static!$I$5:$I$15,0),4),"Y")</f>
        <v>Y</v>
      </c>
      <c r="R17" s="51" t="str">
        <f aca="false">IF(AND(AI17&lt;&gt;"",S17="N",$A$1&gt;=AI17-(7*$D$2)),"Y","N")</f>
        <v>N</v>
      </c>
      <c r="S17" s="51" t="str">
        <f aca="false">IF(AND(AI17&lt;&gt;"",$A$1&gt;=AI17),"Y","N")</f>
        <v>N</v>
      </c>
      <c r="T17" s="51" t="str">
        <f aca="false">IF(D17&gt;(($A$1-WEEKDAY($A$1,2))-7*$D$2),"Y","N")</f>
        <v>N</v>
      </c>
      <c r="U17" s="49" t="str">
        <f aca="false">IF(AR17&gt;0,"Y","N")</f>
        <v>Y</v>
      </c>
      <c r="V17" s="51" t="str">
        <f aca="false">IF(AND(T17="Y",U17="N"),"Y","N")</f>
        <v>N</v>
      </c>
      <c r="W17" s="52" t="str">
        <f aca="false">IF(OR(R17="Y",AND(U17="Y",S17="Y"), $A$1=AI17),"Y","N")</f>
        <v>N</v>
      </c>
      <c r="X17" s="49" t="str">
        <f aca="false">IF(OR(AC17="Y",AC17="N"),AC17,IF(AND(Q17="Y", OR(T17="Y",V17="Y", W17="Y")),"Y","N"))</f>
        <v>N</v>
      </c>
      <c r="Y17" s="51" t="str">
        <f aca="false">IF(OR(P17="Y", U17="Y",W17="Y"),"Y","N")</f>
        <v>Y</v>
      </c>
      <c r="Z17" s="53" t="str">
        <f aca="false">" -  "&amp;O17&amp;AM17&amp;AN17&amp;AF17</f>
        <v>-  Amgt51. Manage Finance</v>
      </c>
      <c r="AA17" s="51" t="str">
        <f aca="false">IFERROR(VLOOKUP(WEEKDAY(AB17),Static!$AL$3:$AM$11,2,0),"")</f>
        <v>Sun</v>
      </c>
      <c r="AB17" s="49" t="n">
        <f aca="false">IF(AH17&lt;&gt;"",AH17,AV17)</f>
        <v>44927</v>
      </c>
      <c r="AC17" s="54"/>
      <c r="AD17" s="54"/>
      <c r="AE17" s="55" t="s">
        <v>443</v>
      </c>
      <c r="AF17" s="56" t="s">
        <v>490</v>
      </c>
      <c r="AG17" s="58" t="s">
        <v>491</v>
      </c>
      <c r="AH17" s="54" t="n">
        <v>44927</v>
      </c>
      <c r="AI17" s="54"/>
      <c r="AJ17" s="57"/>
      <c r="AK17" s="54" t="s">
        <v>446</v>
      </c>
      <c r="AL17" s="54" t="s">
        <v>343</v>
      </c>
      <c r="AM17" s="54" t="s">
        <v>447</v>
      </c>
      <c r="AN17" s="54"/>
      <c r="AO17" s="58" t="s">
        <v>448</v>
      </c>
      <c r="AP17" s="56" t="s">
        <v>449</v>
      </c>
      <c r="AQ17" s="58" t="s">
        <v>492</v>
      </c>
      <c r="AR17" s="51" t="n">
        <f aca="false">SUM(F17:I17)</f>
        <v>2</v>
      </c>
      <c r="AS17" s="59" t="n">
        <f aca="false">IF(AF17="",1,IF(K17&lt;&gt;0,(G17*0.5+J17)/K17,1))</f>
        <v>0</v>
      </c>
      <c r="AT17" s="60" t="str">
        <f aca="false">IF(AP17="","",IF(ISERROR(FIND(CHAR(10),AP17,1)),AP17,LEFT(AP17,FIND(CHAR(10),AP17,1))))</f>
        <v>03-01-22: init</v>
      </c>
      <c r="AU17" s="61" t="str">
        <f aca="false">IF(AP17="","",IFERROR(RIGHT(AP17,LEN(AP17)-FIND("@@@",SUBSTITUTE(AP17,CHAR(10),"@@@",LEN(AP17)-LEN(SUBSTITUTE(AP17,CHAR(10),""))),1)),AP17))</f>
        <v>03-01-22: init</v>
      </c>
      <c r="AV17" s="62" t="n">
        <f aca="false">IFERROR(DATE(("20"&amp;MID(AT17,7,2))*1,MID(AT17,4,2)*1,MID(AT17,1,2)*1),"")</f>
        <v>44564</v>
      </c>
      <c r="AW17" s="62" t="n">
        <f aca="false">IFERROR(DATE(("20"&amp;MID(AU17,7,2))*1,MID(AU17,4,2)*1,MID(AU17,1,2)*1),"")</f>
        <v>44564</v>
      </c>
      <c r="AX17" s="56" t="s">
        <v>450</v>
      </c>
    </row>
    <row r="18" customFormat="false" ht="12.75" hidden="false" customHeight="true" outlineLevel="0" collapsed="false">
      <c r="A18" s="63"/>
      <c r="B18" s="49" t="str">
        <f aca="false">IF(AK18="","tbc",AK18)</f>
        <v>STE</v>
      </c>
      <c r="C18" s="49" t="str">
        <f aca="false">IF(AL18="","VNT",AL18)</f>
        <v>VNT</v>
      </c>
      <c r="D18" s="49" t="n">
        <f aca="false">MAX(AB18,IF(AW18="none",AB18,AW18))</f>
        <v>44927</v>
      </c>
      <c r="E18" s="50" t="n">
        <f aca="false">IFERROR(DAYS360(AB18,D18),0)</f>
        <v>0</v>
      </c>
      <c r="F18" s="50" t="n">
        <f aca="false">((LEN($AQ18)-LEN(SUBSTITUTE($AQ18,CHAR(10)&amp;". ","")))/3)+IF(LEFT(TRIM($AQ18),2)=". ",1,0)</f>
        <v>7</v>
      </c>
      <c r="G18" s="50" t="n">
        <f aca="false">((LEN($AQ18)-LEN(SUBSTITUTE($AQ18,CHAR(10)&amp;"/ ","")))/3)+IF(LEFT(TRIM($AQ18),2)="/ ",1,0)</f>
        <v>0</v>
      </c>
      <c r="H18" s="50" t="n">
        <f aca="false">((LEN($AQ18)-LEN(SUBSTITUTE($AQ18,CHAR(10)&amp;"~ ","")))/3)+IF(LEFT(TRIM($AQ18),2)="~ ",1,0)</f>
        <v>0</v>
      </c>
      <c r="I18" s="50" t="n">
        <f aca="false">((LEN($AQ18)-LEN(SUBSTITUTE($AQ18,CHAR(10)&amp;"! ","")))/3)+IF(LEFT(TRIM($AQ18),2)="! ",1,0)</f>
        <v>0</v>
      </c>
      <c r="J18" s="50" t="n">
        <f aca="false">((LEN($AQ18)-LEN(SUBSTITUTE($AQ18,CHAR(10)&amp;"x ","")))/3)+IF(LEFT(TRIM($AQ18),2)="x ",1,0)</f>
        <v>0</v>
      </c>
      <c r="K18" s="50" t="n">
        <f aca="false">SUM(F18:J18)</f>
        <v>7</v>
      </c>
      <c r="L18" s="51" t="n">
        <f aca="false">YEAR(D18)</f>
        <v>2023</v>
      </c>
      <c r="M18" s="51" t="str">
        <f aca="false">VLOOKUP(MONTH(D18),Static!$AJ$3:$AK$16,2,0)</f>
        <v>Jan</v>
      </c>
      <c r="N18" s="51" t="n">
        <f aca="false">WEEKNUM(D18,1)</f>
        <v>1</v>
      </c>
      <c r="O18" s="51" t="str">
        <f aca="false">IFERROR(INDEX(Static!$I$5:$L$15,MATCH(AE18,Static!$I$5:$I$15,0),3),"Z")</f>
        <v>A</v>
      </c>
      <c r="P18" s="51" t="str">
        <f aca="false">IFERROR(INDEX(Static!$I$5:$L$15,MATCH(AE18,Static!$I$5:$I$15,0),2),"Y")</f>
        <v>Y</v>
      </c>
      <c r="Q18" s="51" t="str">
        <f aca="false">IFERROR(INDEX(Static!$I$5:$L$15,MATCH(AE18,Static!$I$5:$I$15,0),4),"Y")</f>
        <v>Y</v>
      </c>
      <c r="R18" s="51" t="str">
        <f aca="false">IF(AND(AI18&lt;&gt;"",S18="N",$A$1&gt;=AI18-(7*$D$2)),"Y","N")</f>
        <v>N</v>
      </c>
      <c r="S18" s="51" t="str">
        <f aca="false">IF(AND(AI18&lt;&gt;"",$A$1&gt;=AI18),"Y","N")</f>
        <v>N</v>
      </c>
      <c r="T18" s="51" t="str">
        <f aca="false">IF(D18&gt;(($A$1-WEEKDAY($A$1,2))-7*$D$2),"Y","N")</f>
        <v>N</v>
      </c>
      <c r="U18" s="49" t="str">
        <f aca="false">IF(AR18&gt;0,"Y","N")</f>
        <v>Y</v>
      </c>
      <c r="V18" s="51" t="str">
        <f aca="false">IF(AND(T18="Y",U18="N"),"Y","N")</f>
        <v>N</v>
      </c>
      <c r="W18" s="52" t="str">
        <f aca="false">IF(OR(R18="Y",AND(U18="Y",S18="Y"), $A$1=AI18),"Y","N")</f>
        <v>N</v>
      </c>
      <c r="X18" s="49" t="str">
        <f aca="false">IF(OR(AC18="Y",AC18="N"),AC18,IF(AND(Q18="Y", OR(T18="Y",V18="Y", W18="Y")),"Y","N"))</f>
        <v>N</v>
      </c>
      <c r="Y18" s="51" t="str">
        <f aca="false">IF(OR(P18="Y", U18="Y",W18="Y"),"Y","N")</f>
        <v>Y</v>
      </c>
      <c r="Z18" s="53" t="str">
        <f aca="false">" -  "&amp;O18&amp;AM18&amp;AN18&amp;AF18</f>
        <v>-  Amgt52. Manage HR</v>
      </c>
      <c r="AA18" s="51" t="str">
        <f aca="false">IFERROR(VLOOKUP(WEEKDAY(AB18),Static!$AL$3:$AM$11,2,0),"")</f>
        <v>Sun</v>
      </c>
      <c r="AB18" s="49" t="n">
        <f aca="false">IF(AH18&lt;&gt;"",AH18,AV18)</f>
        <v>44927</v>
      </c>
      <c r="AC18" s="54"/>
      <c r="AD18" s="54"/>
      <c r="AE18" s="55" t="s">
        <v>443</v>
      </c>
      <c r="AF18" s="56" t="s">
        <v>493</v>
      </c>
      <c r="AG18" s="58" t="s">
        <v>494</v>
      </c>
      <c r="AH18" s="54" t="n">
        <v>44927</v>
      </c>
      <c r="AI18" s="54"/>
      <c r="AJ18" s="57"/>
      <c r="AK18" s="54" t="s">
        <v>446</v>
      </c>
      <c r="AL18" s="54" t="s">
        <v>343</v>
      </c>
      <c r="AM18" s="54" t="s">
        <v>447</v>
      </c>
      <c r="AN18" s="54"/>
      <c r="AO18" s="58" t="s">
        <v>448</v>
      </c>
      <c r="AP18" s="56" t="s">
        <v>449</v>
      </c>
      <c r="AQ18" s="58" t="s">
        <v>495</v>
      </c>
      <c r="AR18" s="51" t="n">
        <f aca="false">SUM(F18:I18)</f>
        <v>7</v>
      </c>
      <c r="AS18" s="59" t="n">
        <f aca="false">IF(AF18="",1,IF(K18&lt;&gt;0,(G18*0.5+J18)/K18,1))</f>
        <v>0</v>
      </c>
      <c r="AT18" s="60" t="str">
        <f aca="false">IF(AP18="","",IF(ISERROR(FIND(CHAR(10),AP18,1)),AP18,LEFT(AP18,FIND(CHAR(10),AP18,1))))</f>
        <v>03-01-22: init</v>
      </c>
      <c r="AU18" s="61" t="str">
        <f aca="false">IF(AP18="","",IFERROR(RIGHT(AP18,LEN(AP18)-FIND("@@@",SUBSTITUTE(AP18,CHAR(10),"@@@",LEN(AP18)-LEN(SUBSTITUTE(AP18,CHAR(10),""))),1)),AP18))</f>
        <v>03-01-22: init</v>
      </c>
      <c r="AV18" s="62" t="n">
        <f aca="false">IFERROR(DATE(("20"&amp;MID(AT18,7,2))*1,MID(AT18,4,2)*1,MID(AT18,1,2)*1),"")</f>
        <v>44564</v>
      </c>
      <c r="AW18" s="62" t="n">
        <f aca="false">IFERROR(DATE(("20"&amp;MID(AU18,7,2))*1,MID(AU18,4,2)*1,MID(AU18,1,2)*1),"")</f>
        <v>44564</v>
      </c>
      <c r="AX18" s="56" t="s">
        <v>450</v>
      </c>
    </row>
    <row r="19" customFormat="false" ht="12.75" hidden="false" customHeight="true" outlineLevel="0" collapsed="false">
      <c r="A19" s="63"/>
      <c r="B19" s="49" t="str">
        <f aca="false">IF(AK19="","tbc",AK19)</f>
        <v>STE</v>
      </c>
      <c r="C19" s="49" t="str">
        <f aca="false">IF(AL19="","VNT",AL19)</f>
        <v>VNT</v>
      </c>
      <c r="D19" s="49" t="n">
        <f aca="false">MAX(AB19,IF(AW19="none",AB19,AW19))</f>
        <v>44927</v>
      </c>
      <c r="E19" s="50" t="n">
        <f aca="false">IFERROR(DAYS360(AB19,D19),0)</f>
        <v>0</v>
      </c>
      <c r="F19" s="50" t="n">
        <f aca="false">((LEN($AQ19)-LEN(SUBSTITUTE($AQ19,CHAR(10)&amp;". ","")))/3)+IF(LEFT(TRIM($AQ19),2)=". ",1,0)</f>
        <v>2</v>
      </c>
      <c r="G19" s="50" t="n">
        <f aca="false">((LEN($AQ19)-LEN(SUBSTITUTE($AQ19,CHAR(10)&amp;"/ ","")))/3)+IF(LEFT(TRIM($AQ19),2)="/ ",1,0)</f>
        <v>0</v>
      </c>
      <c r="H19" s="50" t="n">
        <f aca="false">((LEN($AQ19)-LEN(SUBSTITUTE($AQ19,CHAR(10)&amp;"~ ","")))/3)+IF(LEFT(TRIM($AQ19),2)="~ ",1,0)</f>
        <v>0</v>
      </c>
      <c r="I19" s="50" t="n">
        <f aca="false">((LEN($AQ19)-LEN(SUBSTITUTE($AQ19,CHAR(10)&amp;"! ","")))/3)+IF(LEFT(TRIM($AQ19),2)="! ",1,0)</f>
        <v>0</v>
      </c>
      <c r="J19" s="50" t="n">
        <f aca="false">((LEN($AQ19)-LEN(SUBSTITUTE($AQ19,CHAR(10)&amp;"x ","")))/3)+IF(LEFT(TRIM($AQ19),2)="x ",1,0)</f>
        <v>0</v>
      </c>
      <c r="K19" s="50" t="n">
        <f aca="false">SUM(F19:J19)</f>
        <v>2</v>
      </c>
      <c r="L19" s="51" t="n">
        <f aca="false">YEAR(D19)</f>
        <v>2023</v>
      </c>
      <c r="M19" s="51" t="str">
        <f aca="false">VLOOKUP(MONTH(D19),Static!$AJ$3:$AK$16,2,0)</f>
        <v>Jan</v>
      </c>
      <c r="N19" s="51" t="n">
        <f aca="false">WEEKNUM(D19,1)</f>
        <v>1</v>
      </c>
      <c r="O19" s="51" t="str">
        <f aca="false">IFERROR(INDEX(Static!$I$5:$L$15,MATCH(AE19,Static!$I$5:$I$15,0),3),"Z")</f>
        <v>A</v>
      </c>
      <c r="P19" s="51" t="str">
        <f aca="false">IFERROR(INDEX(Static!$I$5:$L$15,MATCH(AE19,Static!$I$5:$I$15,0),2),"Y")</f>
        <v>Y</v>
      </c>
      <c r="Q19" s="51" t="str">
        <f aca="false">IFERROR(INDEX(Static!$I$5:$L$15,MATCH(AE19,Static!$I$5:$I$15,0),4),"Y")</f>
        <v>Y</v>
      </c>
      <c r="R19" s="51" t="str">
        <f aca="false">IF(AND(AI19&lt;&gt;"",S19="N",$A$1&gt;=AI19-(7*$D$2)),"Y","N")</f>
        <v>N</v>
      </c>
      <c r="S19" s="51" t="str">
        <f aca="false">IF(AND(AI19&lt;&gt;"",$A$1&gt;=AI19),"Y","N")</f>
        <v>N</v>
      </c>
      <c r="T19" s="51" t="str">
        <f aca="false">IF(D19&gt;(($A$1-WEEKDAY($A$1,2))-7*$D$2),"Y","N")</f>
        <v>N</v>
      </c>
      <c r="U19" s="49" t="str">
        <f aca="false">IF(AR19&gt;0,"Y","N")</f>
        <v>Y</v>
      </c>
      <c r="V19" s="51" t="str">
        <f aca="false">IF(AND(T19="Y",U19="N"),"Y","N")</f>
        <v>N</v>
      </c>
      <c r="W19" s="52" t="str">
        <f aca="false">IF(OR(R19="Y",AND(U19="Y",S19="Y"), $A$1=AI19),"Y","N")</f>
        <v>N</v>
      </c>
      <c r="X19" s="49" t="str">
        <f aca="false">IF(OR(AC19="Y",AC19="N"),AC19,IF(AND(Q19="Y", OR(T19="Y",V19="Y", W19="Y")),"Y","N"))</f>
        <v>N</v>
      </c>
      <c r="Y19" s="51" t="str">
        <f aca="false">IF(OR(P19="Y", U19="Y",W19="Y"),"Y","N")</f>
        <v>Y</v>
      </c>
      <c r="Z19" s="53" t="str">
        <f aca="false">" -  "&amp;O19&amp;AM19&amp;AN19&amp;AF19</f>
        <v>-  Amgt53. Manage IT</v>
      </c>
      <c r="AA19" s="51" t="str">
        <f aca="false">IFERROR(VLOOKUP(WEEKDAY(AB19),Static!$AL$3:$AM$11,2,0),"")</f>
        <v>Sun</v>
      </c>
      <c r="AB19" s="49" t="n">
        <f aca="false">IF(AH19&lt;&gt;"",AH19,AV19)</f>
        <v>44927</v>
      </c>
      <c r="AC19" s="54"/>
      <c r="AD19" s="54"/>
      <c r="AE19" s="55" t="s">
        <v>443</v>
      </c>
      <c r="AF19" s="56" t="s">
        <v>496</v>
      </c>
      <c r="AG19" s="58" t="s">
        <v>497</v>
      </c>
      <c r="AH19" s="54" t="n">
        <v>44927</v>
      </c>
      <c r="AI19" s="54"/>
      <c r="AJ19" s="57"/>
      <c r="AK19" s="54" t="s">
        <v>446</v>
      </c>
      <c r="AL19" s="54" t="s">
        <v>343</v>
      </c>
      <c r="AM19" s="54" t="s">
        <v>447</v>
      </c>
      <c r="AN19" s="54"/>
      <c r="AO19" s="58" t="s">
        <v>448</v>
      </c>
      <c r="AP19" s="56" t="s">
        <v>449</v>
      </c>
      <c r="AQ19" s="58" t="s">
        <v>498</v>
      </c>
      <c r="AR19" s="51" t="n">
        <f aca="false">SUM(F19:I19)</f>
        <v>2</v>
      </c>
      <c r="AS19" s="59" t="n">
        <f aca="false">IF(AF19="",1,IF(K19&lt;&gt;0,(G19*0.5+J19)/K19,1))</f>
        <v>0</v>
      </c>
      <c r="AT19" s="60" t="str">
        <f aca="false">IF(AP19="","",IF(ISERROR(FIND(CHAR(10),AP19,1)),AP19,LEFT(AP19,FIND(CHAR(10),AP19,1))))</f>
        <v>03-01-22: init</v>
      </c>
      <c r="AU19" s="61" t="str">
        <f aca="false">IF(AP19="","",IFERROR(RIGHT(AP19,LEN(AP19)-FIND("@@@",SUBSTITUTE(AP19,CHAR(10),"@@@",LEN(AP19)-LEN(SUBSTITUTE(AP19,CHAR(10),""))),1)),AP19))</f>
        <v>03-01-22: init</v>
      </c>
      <c r="AV19" s="62" t="n">
        <f aca="false">IFERROR(DATE(("20"&amp;MID(AT19,7,2))*1,MID(AT19,4,2)*1,MID(AT19,1,2)*1),"")</f>
        <v>44564</v>
      </c>
      <c r="AW19" s="62" t="n">
        <f aca="false">IFERROR(DATE(("20"&amp;MID(AU19,7,2))*1,MID(AU19,4,2)*1,MID(AU19,1,2)*1),"")</f>
        <v>44564</v>
      </c>
      <c r="AX19" s="56" t="s">
        <v>450</v>
      </c>
    </row>
    <row r="20" customFormat="false" ht="12.75" hidden="false" customHeight="true" outlineLevel="0" collapsed="false">
      <c r="A20" s="63"/>
      <c r="B20" s="49" t="str">
        <f aca="false">IF(AK20="","tbc",AK20)</f>
        <v>STE</v>
      </c>
      <c r="C20" s="49" t="str">
        <f aca="false">IF(AL20="","VNT",AL20)</f>
        <v>VNT</v>
      </c>
      <c r="D20" s="49" t="n">
        <f aca="false">MAX(AB20,IF(AW20="none",AB20,AW20))</f>
        <v>44927</v>
      </c>
      <c r="E20" s="50" t="n">
        <f aca="false">IFERROR(DAYS360(AB20,D20),0)</f>
        <v>0</v>
      </c>
      <c r="F20" s="50" t="n">
        <f aca="false">((LEN($AQ20)-LEN(SUBSTITUTE($AQ20,CHAR(10)&amp;". ","")))/3)+IF(LEFT(TRIM($AQ20),2)=". ",1,0)</f>
        <v>0</v>
      </c>
      <c r="G20" s="50" t="n">
        <f aca="false">((LEN($AQ20)-LEN(SUBSTITUTE($AQ20,CHAR(10)&amp;"/ ","")))/3)+IF(LEFT(TRIM($AQ20),2)="/ ",1,0)</f>
        <v>0</v>
      </c>
      <c r="H20" s="50" t="n">
        <f aca="false">((LEN($AQ20)-LEN(SUBSTITUTE($AQ20,CHAR(10)&amp;"~ ","")))/3)+IF(LEFT(TRIM($AQ20),2)="~ ",1,0)</f>
        <v>0</v>
      </c>
      <c r="I20" s="50" t="n">
        <f aca="false">((LEN($AQ20)-LEN(SUBSTITUTE($AQ20,CHAR(10)&amp;"! ","")))/3)+IF(LEFT(TRIM($AQ20),2)="! ",1,0)</f>
        <v>0</v>
      </c>
      <c r="J20" s="50" t="n">
        <f aca="false">((LEN($AQ20)-LEN(SUBSTITUTE($AQ20,CHAR(10)&amp;"x ","")))/3)+IF(LEFT(TRIM($AQ20),2)="x ",1,0)</f>
        <v>0</v>
      </c>
      <c r="K20" s="50" t="n">
        <f aca="false">SUM(F20:J20)</f>
        <v>0</v>
      </c>
      <c r="L20" s="51" t="n">
        <f aca="false">YEAR(D20)</f>
        <v>2023</v>
      </c>
      <c r="M20" s="51" t="str">
        <f aca="false">VLOOKUP(MONTH(D20),Static!$AJ$3:$AK$16,2,0)</f>
        <v>Jan</v>
      </c>
      <c r="N20" s="51" t="n">
        <f aca="false">WEEKNUM(D20,1)</f>
        <v>1</v>
      </c>
      <c r="O20" s="51" t="str">
        <f aca="false">IFERROR(INDEX(Static!$I$5:$L$15,MATCH(AE20,Static!$I$5:$I$15,0),3),"Z")</f>
        <v>A</v>
      </c>
      <c r="P20" s="51" t="str">
        <f aca="false">IFERROR(INDEX(Static!$I$5:$L$15,MATCH(AE20,Static!$I$5:$I$15,0),2),"Y")</f>
        <v>Y</v>
      </c>
      <c r="Q20" s="51" t="str">
        <f aca="false">IFERROR(INDEX(Static!$I$5:$L$15,MATCH(AE20,Static!$I$5:$I$15,0),4),"Y")</f>
        <v>Y</v>
      </c>
      <c r="R20" s="51" t="str">
        <f aca="false">IF(AND(AI20&lt;&gt;"",S20="N",$A$1&gt;=AI20-(7*$D$2)),"Y","N")</f>
        <v>N</v>
      </c>
      <c r="S20" s="51" t="str">
        <f aca="false">IF(AND(AI20&lt;&gt;"",$A$1&gt;=AI20),"Y","N")</f>
        <v>N</v>
      </c>
      <c r="T20" s="51" t="str">
        <f aca="false">IF(D20&gt;(($A$1-WEEKDAY($A$1,2))-7*$D$2),"Y","N")</f>
        <v>N</v>
      </c>
      <c r="U20" s="49" t="str">
        <f aca="false">IF(AR20&gt;0,"Y","N")</f>
        <v>N</v>
      </c>
      <c r="V20" s="51" t="str">
        <f aca="false">IF(AND(T20="Y",U20="N"),"Y","N")</f>
        <v>N</v>
      </c>
      <c r="W20" s="52" t="str">
        <f aca="false">IF(OR(R20="Y",AND(U20="Y",S20="Y"), $A$1=AI20),"Y","N")</f>
        <v>N</v>
      </c>
      <c r="X20" s="49" t="str">
        <f aca="false">IF(OR(AC20="Y",AC20="N"),AC20,IF(AND(Q20="Y", OR(T20="Y",V20="Y", W20="Y")),"Y","N"))</f>
        <v>N</v>
      </c>
      <c r="Y20" s="51" t="str">
        <f aca="false">IF(OR(P20="Y", U20="Y",W20="Y"),"Y","N")</f>
        <v>Y</v>
      </c>
      <c r="Z20" s="53" t="str">
        <f aca="false">" -  "&amp;O20&amp;AM20&amp;AN20&amp;AF20</f>
        <v>-  Amgt54. Manage Risk</v>
      </c>
      <c r="AA20" s="51" t="str">
        <f aca="false">IFERROR(VLOOKUP(WEEKDAY(AB20),Static!$AL$3:$AM$11,2,0),"")</f>
        <v>Sun</v>
      </c>
      <c r="AB20" s="49" t="n">
        <f aca="false">IF(AH20&lt;&gt;"",AH20,AV20)</f>
        <v>44927</v>
      </c>
      <c r="AC20" s="54"/>
      <c r="AD20" s="54"/>
      <c r="AE20" s="55" t="s">
        <v>443</v>
      </c>
      <c r="AF20" s="56" t="s">
        <v>499</v>
      </c>
      <c r="AG20" s="58" t="s">
        <v>500</v>
      </c>
      <c r="AH20" s="54" t="n">
        <v>44927</v>
      </c>
      <c r="AI20" s="54"/>
      <c r="AJ20" s="57"/>
      <c r="AK20" s="54" t="s">
        <v>446</v>
      </c>
      <c r="AL20" s="54" t="s">
        <v>343</v>
      </c>
      <c r="AM20" s="54" t="s">
        <v>447</v>
      </c>
      <c r="AN20" s="54"/>
      <c r="AO20" s="58" t="s">
        <v>448</v>
      </c>
      <c r="AP20" s="56" t="s">
        <v>449</v>
      </c>
      <c r="AQ20" s="58"/>
      <c r="AR20" s="51" t="n">
        <f aca="false">SUM(F20:I20)</f>
        <v>0</v>
      </c>
      <c r="AS20" s="59" t="n">
        <f aca="false">IF(AF20="",1,IF(K20&lt;&gt;0,(G20*0.5+J20)/K20,1))</f>
        <v>1</v>
      </c>
      <c r="AT20" s="60" t="str">
        <f aca="false">IF(AP20="","",IF(ISERROR(FIND(CHAR(10),AP20,1)),AP20,LEFT(AP20,FIND(CHAR(10),AP20,1))))</f>
        <v>03-01-22: init</v>
      </c>
      <c r="AU20" s="61" t="str">
        <f aca="false">IF(AP20="","",IFERROR(RIGHT(AP20,LEN(AP20)-FIND("@@@",SUBSTITUTE(AP20,CHAR(10),"@@@",LEN(AP20)-LEN(SUBSTITUTE(AP20,CHAR(10),""))),1)),AP20))</f>
        <v>03-01-22: init</v>
      </c>
      <c r="AV20" s="62" t="n">
        <f aca="false">IFERROR(DATE(("20"&amp;MID(AT20,7,2))*1,MID(AT20,4,2)*1,MID(AT20,1,2)*1),"")</f>
        <v>44564</v>
      </c>
      <c r="AW20" s="62" t="n">
        <f aca="false">IFERROR(DATE(("20"&amp;MID(AU20,7,2))*1,MID(AU20,4,2)*1,MID(AU20,1,2)*1),"")</f>
        <v>44564</v>
      </c>
      <c r="AX20" s="56" t="s">
        <v>450</v>
      </c>
    </row>
    <row r="21" customFormat="false" ht="12.75" hidden="false" customHeight="true" outlineLevel="0" collapsed="false">
      <c r="A21" s="63"/>
      <c r="B21" s="49" t="str">
        <f aca="false">IF(AK21="","tbc",AK21)</f>
        <v>STE</v>
      </c>
      <c r="C21" s="49" t="str">
        <f aca="false">IF(AL21="","VNT",AL21)</f>
        <v>VNT</v>
      </c>
      <c r="D21" s="49" t="n">
        <f aca="false">MAX(AB21,IF(AW21="none",AB21,AW21))</f>
        <v>44927</v>
      </c>
      <c r="E21" s="50" t="n">
        <f aca="false">IFERROR(DAYS360(AB21,D21),0)</f>
        <v>0</v>
      </c>
      <c r="F21" s="50" t="n">
        <f aca="false">((LEN($AQ21)-LEN(SUBSTITUTE($AQ21,CHAR(10)&amp;". ","")))/3)+IF(LEFT(TRIM($AQ21),2)=". ",1,0)</f>
        <v>0</v>
      </c>
      <c r="G21" s="50" t="n">
        <f aca="false">((LEN($AQ21)-LEN(SUBSTITUTE($AQ21,CHAR(10)&amp;"/ ","")))/3)+IF(LEFT(TRIM($AQ21),2)="/ ",1,0)</f>
        <v>0</v>
      </c>
      <c r="H21" s="50" t="n">
        <f aca="false">((LEN($AQ21)-LEN(SUBSTITUTE($AQ21,CHAR(10)&amp;"~ ","")))/3)+IF(LEFT(TRIM($AQ21),2)="~ ",1,0)</f>
        <v>0</v>
      </c>
      <c r="I21" s="50" t="n">
        <f aca="false">((LEN($AQ21)-LEN(SUBSTITUTE($AQ21,CHAR(10)&amp;"! ","")))/3)+IF(LEFT(TRIM($AQ21),2)="! ",1,0)</f>
        <v>0</v>
      </c>
      <c r="J21" s="50" t="n">
        <f aca="false">((LEN($AQ21)-LEN(SUBSTITUTE($AQ21,CHAR(10)&amp;"x ","")))/3)+IF(LEFT(TRIM($AQ21),2)="x ",1,0)</f>
        <v>0</v>
      </c>
      <c r="K21" s="50" t="n">
        <f aca="false">SUM(F21:J21)</f>
        <v>0</v>
      </c>
      <c r="L21" s="51" t="n">
        <f aca="false">YEAR(D21)</f>
        <v>2023</v>
      </c>
      <c r="M21" s="51" t="str">
        <f aca="false">VLOOKUP(MONTH(D21),Static!$AJ$3:$AK$16,2,0)</f>
        <v>Jan</v>
      </c>
      <c r="N21" s="51" t="n">
        <f aca="false">WEEKNUM(D21,1)</f>
        <v>1</v>
      </c>
      <c r="O21" s="51" t="str">
        <f aca="false">IFERROR(INDEX(Static!$I$5:$L$15,MATCH(AE21,Static!$I$5:$I$15,0),3),"Z")</f>
        <v>A</v>
      </c>
      <c r="P21" s="51" t="str">
        <f aca="false">IFERROR(INDEX(Static!$I$5:$L$15,MATCH(AE21,Static!$I$5:$I$15,0),2),"Y")</f>
        <v>Y</v>
      </c>
      <c r="Q21" s="51" t="str">
        <f aca="false">IFERROR(INDEX(Static!$I$5:$L$15,MATCH(AE21,Static!$I$5:$I$15,0),4),"Y")</f>
        <v>Y</v>
      </c>
      <c r="R21" s="51" t="str">
        <f aca="false">IF(AND(AI21&lt;&gt;"",S21="N",$A$1&gt;=AI21-(7*$D$2)),"Y","N")</f>
        <v>N</v>
      </c>
      <c r="S21" s="51" t="str">
        <f aca="false">IF(AND(AI21&lt;&gt;"",$A$1&gt;=AI21),"Y","N")</f>
        <v>N</v>
      </c>
      <c r="T21" s="51" t="str">
        <f aca="false">IF(D21&gt;(($A$1-WEEKDAY($A$1,2))-7*$D$2),"Y","N")</f>
        <v>N</v>
      </c>
      <c r="U21" s="49" t="str">
        <f aca="false">IF(AR21&gt;0,"Y","N")</f>
        <v>N</v>
      </c>
      <c r="V21" s="51" t="str">
        <f aca="false">IF(AND(T21="Y",U21="N"),"Y","N")</f>
        <v>N</v>
      </c>
      <c r="W21" s="52" t="str">
        <f aca="false">IF(OR(R21="Y",AND(U21="Y",S21="Y"), $A$1=AI21),"Y","N")</f>
        <v>N</v>
      </c>
      <c r="X21" s="49" t="str">
        <f aca="false">IF(OR(AC21="Y",AC21="N"),AC21,IF(AND(Q21="Y", OR(T21="Y",V21="Y", W21="Y")),"Y","N"))</f>
        <v>N</v>
      </c>
      <c r="Y21" s="51" t="str">
        <f aca="false">IF(OR(P21="Y", U21="Y",W21="Y"),"Y","N")</f>
        <v>Y</v>
      </c>
      <c r="Z21" s="53" t="str">
        <f aca="false">" -  "&amp;O21&amp;AM21&amp;AN21&amp;AF21</f>
        <v>-  Amgt55. Manage Compliance</v>
      </c>
      <c r="AA21" s="51" t="str">
        <f aca="false">IFERROR(VLOOKUP(WEEKDAY(AB21),Static!$AL$3:$AM$11,2,0),"")</f>
        <v>Sun</v>
      </c>
      <c r="AB21" s="49" t="n">
        <f aca="false">IF(AH21&lt;&gt;"",AH21,AV21)</f>
        <v>44927</v>
      </c>
      <c r="AC21" s="54"/>
      <c r="AD21" s="54"/>
      <c r="AE21" s="55" t="s">
        <v>443</v>
      </c>
      <c r="AF21" s="56" t="s">
        <v>501</v>
      </c>
      <c r="AG21" s="58" t="s">
        <v>502</v>
      </c>
      <c r="AH21" s="54" t="n">
        <v>44927</v>
      </c>
      <c r="AI21" s="54"/>
      <c r="AJ21" s="57"/>
      <c r="AK21" s="54" t="s">
        <v>446</v>
      </c>
      <c r="AL21" s="54" t="s">
        <v>343</v>
      </c>
      <c r="AM21" s="54" t="s">
        <v>447</v>
      </c>
      <c r="AN21" s="54"/>
      <c r="AO21" s="58" t="s">
        <v>448</v>
      </c>
      <c r="AP21" s="56" t="s">
        <v>449</v>
      </c>
      <c r="AQ21" s="58"/>
      <c r="AR21" s="51" t="n">
        <f aca="false">SUM(F21:I21)</f>
        <v>0</v>
      </c>
      <c r="AS21" s="59" t="n">
        <f aca="false">IF(AF21="",1,IF(K21&lt;&gt;0,(G21*0.5+J21)/K21,1))</f>
        <v>1</v>
      </c>
      <c r="AT21" s="60" t="str">
        <f aca="false">IF(AP21="","",IF(ISERROR(FIND(CHAR(10),AP21,1)),AP21,LEFT(AP21,FIND(CHAR(10),AP21,1))))</f>
        <v>03-01-22: init</v>
      </c>
      <c r="AU21" s="61" t="str">
        <f aca="false">IF(AP21="","",IFERROR(RIGHT(AP21,LEN(AP21)-FIND("@@@",SUBSTITUTE(AP21,CHAR(10),"@@@",LEN(AP21)-LEN(SUBSTITUTE(AP21,CHAR(10),""))),1)),AP21))</f>
        <v>03-01-22: init</v>
      </c>
      <c r="AV21" s="62" t="n">
        <f aca="false">IFERROR(DATE(("20"&amp;MID(AT21,7,2))*1,MID(AT21,4,2)*1,MID(AT21,1,2)*1),"")</f>
        <v>44564</v>
      </c>
      <c r="AW21" s="62" t="n">
        <f aca="false">IFERROR(DATE(("20"&amp;MID(AU21,7,2))*1,MID(AU21,4,2)*1,MID(AU21,1,2)*1),"")</f>
        <v>44564</v>
      </c>
      <c r="AX21" s="56" t="s">
        <v>450</v>
      </c>
    </row>
    <row r="22" customFormat="false" ht="12.75" hidden="false" customHeight="true" outlineLevel="0" collapsed="false">
      <c r="A22" s="63"/>
      <c r="B22" s="49" t="str">
        <f aca="false">IF(AK22="","tbc",AK22)</f>
        <v>STE</v>
      </c>
      <c r="C22" s="49" t="str">
        <f aca="false">IF(AL22="","VNT",AL22)</f>
        <v>VNT</v>
      </c>
      <c r="D22" s="49" t="n">
        <f aca="false">MAX(AB22,IF(AW22="none",AB22,AW22))</f>
        <v>44927</v>
      </c>
      <c r="E22" s="50" t="n">
        <f aca="false">IFERROR(DAYS360(AB22,D22),0)</f>
        <v>0</v>
      </c>
      <c r="F22" s="50" t="n">
        <f aca="false">((LEN($AQ22)-LEN(SUBSTITUTE($AQ22,CHAR(10)&amp;". ","")))/3)+IF(LEFT(TRIM($AQ22),2)=". ",1,0)</f>
        <v>3</v>
      </c>
      <c r="G22" s="50" t="n">
        <f aca="false">((LEN($AQ22)-LEN(SUBSTITUTE($AQ22,CHAR(10)&amp;"/ ","")))/3)+IF(LEFT(TRIM($AQ22),2)="/ ",1,0)</f>
        <v>0</v>
      </c>
      <c r="H22" s="50" t="n">
        <f aca="false">((LEN($AQ22)-LEN(SUBSTITUTE($AQ22,CHAR(10)&amp;"~ ","")))/3)+IF(LEFT(TRIM($AQ22),2)="~ ",1,0)</f>
        <v>0</v>
      </c>
      <c r="I22" s="50" t="n">
        <f aca="false">((LEN($AQ22)-LEN(SUBSTITUTE($AQ22,CHAR(10)&amp;"! ","")))/3)+IF(LEFT(TRIM($AQ22),2)="! ",1,0)</f>
        <v>0</v>
      </c>
      <c r="J22" s="50" t="n">
        <f aca="false">((LEN($AQ22)-LEN(SUBSTITUTE($AQ22,CHAR(10)&amp;"x ","")))/3)+IF(LEFT(TRIM($AQ22),2)="x ",1,0)</f>
        <v>0</v>
      </c>
      <c r="K22" s="50" t="n">
        <f aca="false">SUM(F22:J22)</f>
        <v>3</v>
      </c>
      <c r="L22" s="51" t="n">
        <f aca="false">YEAR(D22)</f>
        <v>2023</v>
      </c>
      <c r="M22" s="51" t="str">
        <f aca="false">VLOOKUP(MONTH(D22),Static!$AJ$3:$AK$16,2,0)</f>
        <v>Jan</v>
      </c>
      <c r="N22" s="51" t="n">
        <f aca="false">WEEKNUM(D22,1)</f>
        <v>1</v>
      </c>
      <c r="O22" s="51" t="str">
        <f aca="false">IFERROR(INDEX(Static!$I$5:$L$15,MATCH(AE22,Static!$I$5:$I$15,0),3),"Z")</f>
        <v>A</v>
      </c>
      <c r="P22" s="51" t="str">
        <f aca="false">IFERROR(INDEX(Static!$I$5:$L$15,MATCH(AE22,Static!$I$5:$I$15,0),2),"Y")</f>
        <v>Y</v>
      </c>
      <c r="Q22" s="51" t="str">
        <f aca="false">IFERROR(INDEX(Static!$I$5:$L$15,MATCH(AE22,Static!$I$5:$I$15,0),4),"Y")</f>
        <v>Y</v>
      </c>
      <c r="R22" s="51" t="str">
        <f aca="false">IF(AND(AI22&lt;&gt;"",S22="N",$A$1&gt;=AI22-(7*$D$2)),"Y","N")</f>
        <v>N</v>
      </c>
      <c r="S22" s="51" t="str">
        <f aca="false">IF(AND(AI22&lt;&gt;"",$A$1&gt;=AI22),"Y","N")</f>
        <v>N</v>
      </c>
      <c r="T22" s="51" t="str">
        <f aca="false">IF(D22&gt;(($A$1-WEEKDAY($A$1,2))-7*$D$2),"Y","N")</f>
        <v>N</v>
      </c>
      <c r="U22" s="49" t="str">
        <f aca="false">IF(AR22&gt;0,"Y","N")</f>
        <v>Y</v>
      </c>
      <c r="V22" s="51" t="str">
        <f aca="false">IF(AND(T22="Y",U22="N"),"Y","N")</f>
        <v>N</v>
      </c>
      <c r="W22" s="52" t="str">
        <f aca="false">IF(OR(R22="Y",AND(U22="Y",S22="Y"), $A$1=AI22),"Y","N")</f>
        <v>N</v>
      </c>
      <c r="X22" s="49" t="str">
        <f aca="false">IF(OR(AC22="Y",AC22="N"),AC22,IF(AND(Q22="Y", OR(T22="Y",V22="Y", W22="Y")),"Y","N"))</f>
        <v>N</v>
      </c>
      <c r="Y22" s="51" t="str">
        <f aca="false">IF(OR(P22="Y", U22="Y",W22="Y"),"Y","N")</f>
        <v>Y</v>
      </c>
      <c r="Z22" s="53" t="str">
        <f aca="false">" -  "&amp;O22&amp;AM22&amp;AN22&amp;AF22</f>
        <v>-  Amgt56. Manage CorpSec</v>
      </c>
      <c r="AA22" s="51" t="str">
        <f aca="false">IFERROR(VLOOKUP(WEEKDAY(AB22),Static!$AL$3:$AM$11,2,0),"")</f>
        <v>Sun</v>
      </c>
      <c r="AB22" s="49" t="n">
        <f aca="false">IF(AH22&lt;&gt;"",AH22,AV22)</f>
        <v>44927</v>
      </c>
      <c r="AC22" s="54"/>
      <c r="AD22" s="54"/>
      <c r="AE22" s="55" t="s">
        <v>443</v>
      </c>
      <c r="AF22" s="56" t="s">
        <v>503</v>
      </c>
      <c r="AG22" s="58" t="s">
        <v>504</v>
      </c>
      <c r="AH22" s="54" t="n">
        <v>44927</v>
      </c>
      <c r="AI22" s="54"/>
      <c r="AJ22" s="57"/>
      <c r="AK22" s="54" t="s">
        <v>446</v>
      </c>
      <c r="AL22" s="54" t="s">
        <v>343</v>
      </c>
      <c r="AM22" s="54" t="s">
        <v>447</v>
      </c>
      <c r="AN22" s="54"/>
      <c r="AO22" s="58" t="s">
        <v>448</v>
      </c>
      <c r="AP22" s="56" t="s">
        <v>449</v>
      </c>
      <c r="AQ22" s="58" t="s">
        <v>505</v>
      </c>
      <c r="AR22" s="51" t="n">
        <f aca="false">SUM(F22:I22)</f>
        <v>3</v>
      </c>
      <c r="AS22" s="59" t="n">
        <f aca="false">IF(AF22="",1,IF(K22&lt;&gt;0,(G22*0.5+J22)/K22,1))</f>
        <v>0</v>
      </c>
      <c r="AT22" s="60" t="str">
        <f aca="false">IF(AP22="","",IF(ISERROR(FIND(CHAR(10),AP22,1)),AP22,LEFT(AP22,FIND(CHAR(10),AP22,1))))</f>
        <v>03-01-22: init</v>
      </c>
      <c r="AU22" s="61" t="str">
        <f aca="false">IF(AP22="","",IFERROR(RIGHT(AP22,LEN(AP22)-FIND("@@@",SUBSTITUTE(AP22,CHAR(10),"@@@",LEN(AP22)-LEN(SUBSTITUTE(AP22,CHAR(10),""))),1)),AP22))</f>
        <v>03-01-22: init</v>
      </c>
      <c r="AV22" s="62" t="n">
        <f aca="false">IFERROR(DATE(("20"&amp;MID(AT22,7,2))*1,MID(AT22,4,2)*1,MID(AT22,1,2)*1),"")</f>
        <v>44564</v>
      </c>
      <c r="AW22" s="62" t="n">
        <f aca="false">IFERROR(DATE(("20"&amp;MID(AU22,7,2))*1,MID(AU22,4,2)*1,MID(AU22,1,2)*1),"")</f>
        <v>44564</v>
      </c>
      <c r="AX22" s="56" t="s">
        <v>450</v>
      </c>
    </row>
    <row r="23" customFormat="false" ht="12.75" hidden="false" customHeight="true" outlineLevel="0" collapsed="false">
      <c r="A23" s="63"/>
      <c r="B23" s="49" t="str">
        <f aca="false">IF(AK23="","tbc",AK23)</f>
        <v>STE</v>
      </c>
      <c r="C23" s="49" t="str">
        <f aca="false">IF(AL23="","VNT",AL23)</f>
        <v>VNT</v>
      </c>
      <c r="D23" s="49" t="n">
        <f aca="false">MAX(AB23,IF(AW23="none",AB23,AW23))</f>
        <v>44927</v>
      </c>
      <c r="E23" s="50" t="n">
        <f aca="false">IFERROR(DAYS360(AB23,D23),0)</f>
        <v>0</v>
      </c>
      <c r="F23" s="50" t="n">
        <f aca="false">((LEN($AQ23)-LEN(SUBSTITUTE($AQ23,CHAR(10)&amp;". ","")))/3)+IF(LEFT(TRIM($AQ23),2)=". ",1,0)</f>
        <v>0</v>
      </c>
      <c r="G23" s="50" t="n">
        <f aca="false">((LEN($AQ23)-LEN(SUBSTITUTE($AQ23,CHAR(10)&amp;"/ ","")))/3)+IF(LEFT(TRIM($AQ23),2)="/ ",1,0)</f>
        <v>0</v>
      </c>
      <c r="H23" s="50" t="n">
        <f aca="false">((LEN($AQ23)-LEN(SUBSTITUTE($AQ23,CHAR(10)&amp;"~ ","")))/3)+IF(LEFT(TRIM($AQ23),2)="~ ",1,0)</f>
        <v>0</v>
      </c>
      <c r="I23" s="50" t="n">
        <f aca="false">((LEN($AQ23)-LEN(SUBSTITUTE($AQ23,CHAR(10)&amp;"! ","")))/3)+IF(LEFT(TRIM($AQ23),2)="! ",1,0)</f>
        <v>0</v>
      </c>
      <c r="J23" s="50" t="n">
        <f aca="false">((LEN($AQ23)-LEN(SUBSTITUTE($AQ23,CHAR(10)&amp;"x ","")))/3)+IF(LEFT(TRIM($AQ23),2)="x ",1,0)</f>
        <v>0</v>
      </c>
      <c r="K23" s="50" t="n">
        <f aca="false">SUM(F23:J23)</f>
        <v>0</v>
      </c>
      <c r="L23" s="51" t="n">
        <f aca="false">YEAR(D23)</f>
        <v>2023</v>
      </c>
      <c r="M23" s="51" t="str">
        <f aca="false">VLOOKUP(MONTH(D23),Static!$AJ$3:$AK$16,2,0)</f>
        <v>Jan</v>
      </c>
      <c r="N23" s="51" t="n">
        <f aca="false">WEEKNUM(D23,1)</f>
        <v>1</v>
      </c>
      <c r="O23" s="51" t="str">
        <f aca="false">IFERROR(INDEX(Static!$I$5:$L$15,MATCH(AE23,Static!$I$5:$I$15,0),3),"Z")</f>
        <v>A</v>
      </c>
      <c r="P23" s="51" t="str">
        <f aca="false">IFERROR(INDEX(Static!$I$5:$L$15,MATCH(AE23,Static!$I$5:$I$15,0),2),"Y")</f>
        <v>Y</v>
      </c>
      <c r="Q23" s="51" t="str">
        <f aca="false">IFERROR(INDEX(Static!$I$5:$L$15,MATCH(AE23,Static!$I$5:$I$15,0),4),"Y")</f>
        <v>Y</v>
      </c>
      <c r="R23" s="51" t="str">
        <f aca="false">IF(AND(AI23&lt;&gt;"",S23="N",$A$1&gt;=AI23-(7*$D$2)),"Y","N")</f>
        <v>N</v>
      </c>
      <c r="S23" s="51" t="str">
        <f aca="false">IF(AND(AI23&lt;&gt;"",$A$1&gt;=AI23),"Y","N")</f>
        <v>N</v>
      </c>
      <c r="T23" s="51" t="str">
        <f aca="false">IF(D23&gt;(($A$1-WEEKDAY($A$1,2))-7*$D$2),"Y","N")</f>
        <v>N</v>
      </c>
      <c r="U23" s="49" t="str">
        <f aca="false">IF(AR23&gt;0,"Y","N")</f>
        <v>N</v>
      </c>
      <c r="V23" s="51" t="str">
        <f aca="false">IF(AND(T23="Y",U23="N"),"Y","N")</f>
        <v>N</v>
      </c>
      <c r="W23" s="52" t="str">
        <f aca="false">IF(OR(R23="Y",AND(U23="Y",S23="Y"), $A$1=AI23),"Y","N")</f>
        <v>N</v>
      </c>
      <c r="X23" s="49" t="str">
        <f aca="false">IF(OR(AC23="Y",AC23="N"),AC23,IF(AND(Q23="Y", OR(T23="Y",V23="Y", W23="Y")),"Y","N"))</f>
        <v>N</v>
      </c>
      <c r="Y23" s="51" t="str">
        <f aca="false">IF(OR(P23="Y", U23="Y",W23="Y"),"Y","N")</f>
        <v>Y</v>
      </c>
      <c r="Z23" s="53" t="str">
        <f aca="false">" -  "&amp;O23&amp;AM23&amp;AN23&amp;AF23</f>
        <v>-  Amgt57. Manage Procurement</v>
      </c>
      <c r="AA23" s="51" t="str">
        <f aca="false">IFERROR(VLOOKUP(WEEKDAY(AB23),Static!$AL$3:$AM$11,2,0),"")</f>
        <v>Sun</v>
      </c>
      <c r="AB23" s="49" t="n">
        <f aca="false">IF(AH23&lt;&gt;"",AH23,AV23)</f>
        <v>44927</v>
      </c>
      <c r="AC23" s="54"/>
      <c r="AD23" s="54"/>
      <c r="AE23" s="55" t="s">
        <v>443</v>
      </c>
      <c r="AF23" s="56" t="s">
        <v>506</v>
      </c>
      <c r="AG23" s="58" t="s">
        <v>507</v>
      </c>
      <c r="AH23" s="54" t="n">
        <v>44927</v>
      </c>
      <c r="AI23" s="54"/>
      <c r="AJ23" s="57"/>
      <c r="AK23" s="54" t="s">
        <v>446</v>
      </c>
      <c r="AL23" s="54" t="s">
        <v>343</v>
      </c>
      <c r="AM23" s="54" t="s">
        <v>447</v>
      </c>
      <c r="AN23" s="54"/>
      <c r="AO23" s="58" t="s">
        <v>448</v>
      </c>
      <c r="AP23" s="56" t="s">
        <v>449</v>
      </c>
      <c r="AQ23" s="58"/>
      <c r="AR23" s="51" t="n">
        <f aca="false">SUM(F23:I23)</f>
        <v>0</v>
      </c>
      <c r="AS23" s="59" t="n">
        <f aca="false">IF(AF23="",1,IF(K23&lt;&gt;0,(G23*0.5+J23)/K23,1))</f>
        <v>1</v>
      </c>
      <c r="AT23" s="60" t="str">
        <f aca="false">IF(AP23="","",IF(ISERROR(FIND(CHAR(10),AP23,1)),AP23,LEFT(AP23,FIND(CHAR(10),AP23,1))))</f>
        <v>03-01-22: init</v>
      </c>
      <c r="AU23" s="61" t="str">
        <f aca="false">IF(AP23="","",IFERROR(RIGHT(AP23,LEN(AP23)-FIND("@@@",SUBSTITUTE(AP23,CHAR(10),"@@@",LEN(AP23)-LEN(SUBSTITUTE(AP23,CHAR(10),""))),1)),AP23))</f>
        <v>03-01-22: init</v>
      </c>
      <c r="AV23" s="62" t="n">
        <f aca="false">IFERROR(DATE(("20"&amp;MID(AT23,7,2))*1,MID(AT23,4,2)*1,MID(AT23,1,2)*1),"")</f>
        <v>44564</v>
      </c>
      <c r="AW23" s="62" t="n">
        <f aca="false">IFERROR(DATE(("20"&amp;MID(AU23,7,2))*1,MID(AU23,4,2)*1,MID(AU23,1,2)*1),"")</f>
        <v>44564</v>
      </c>
      <c r="AX23" s="56" t="s">
        <v>450</v>
      </c>
    </row>
    <row r="24" customFormat="false" ht="12.75" hidden="false" customHeight="true" outlineLevel="0" collapsed="false">
      <c r="A24" s="63"/>
      <c r="B24" s="49" t="str">
        <f aca="false">IF(AK24="","tbc",AK24)</f>
        <v>STE</v>
      </c>
      <c r="C24" s="49" t="str">
        <f aca="false">IF(AL24="","VNT",AL24)</f>
        <v>VNT</v>
      </c>
      <c r="D24" s="49" t="n">
        <f aca="false">MAX(AB24,IF(AW24="none",AB24,AW24))</f>
        <v>44927</v>
      </c>
      <c r="E24" s="50" t="n">
        <f aca="false">IFERROR(DAYS360(AB24,D24),0)</f>
        <v>0</v>
      </c>
      <c r="F24" s="50" t="n">
        <f aca="false">((LEN($AQ24)-LEN(SUBSTITUTE($AQ24,CHAR(10)&amp;". ","")))/3)+IF(LEFT(TRIM($AQ24),2)=". ",1,0)</f>
        <v>0</v>
      </c>
      <c r="G24" s="50" t="n">
        <f aca="false">((LEN($AQ24)-LEN(SUBSTITUTE($AQ24,CHAR(10)&amp;"/ ","")))/3)+IF(LEFT(TRIM($AQ24),2)="/ ",1,0)</f>
        <v>0</v>
      </c>
      <c r="H24" s="50" t="n">
        <f aca="false">((LEN($AQ24)-LEN(SUBSTITUTE($AQ24,CHAR(10)&amp;"~ ","")))/3)+IF(LEFT(TRIM($AQ24),2)="~ ",1,0)</f>
        <v>0</v>
      </c>
      <c r="I24" s="50" t="n">
        <f aca="false">((LEN($AQ24)-LEN(SUBSTITUTE($AQ24,CHAR(10)&amp;"! ","")))/3)+IF(LEFT(TRIM($AQ24),2)="! ",1,0)</f>
        <v>0</v>
      </c>
      <c r="J24" s="50" t="n">
        <f aca="false">((LEN($AQ24)-LEN(SUBSTITUTE($AQ24,CHAR(10)&amp;"x ","")))/3)+IF(LEFT(TRIM($AQ24),2)="x ",1,0)</f>
        <v>0</v>
      </c>
      <c r="K24" s="50" t="n">
        <f aca="false">SUM(F24:J24)</f>
        <v>0</v>
      </c>
      <c r="L24" s="51" t="n">
        <f aca="false">YEAR(D24)</f>
        <v>2023</v>
      </c>
      <c r="M24" s="51" t="str">
        <f aca="false">VLOOKUP(MONTH(D24),Static!$AJ$3:$AK$16,2,0)</f>
        <v>Jan</v>
      </c>
      <c r="N24" s="51" t="n">
        <f aca="false">WEEKNUM(D24,1)</f>
        <v>1</v>
      </c>
      <c r="O24" s="51" t="str">
        <f aca="false">IFERROR(INDEX(Static!$I$5:$L$15,MATCH(AE24,Static!$I$5:$I$15,0),3),"Z")</f>
        <v>A</v>
      </c>
      <c r="P24" s="51" t="str">
        <f aca="false">IFERROR(INDEX(Static!$I$5:$L$15,MATCH(AE24,Static!$I$5:$I$15,0),2),"Y")</f>
        <v>Y</v>
      </c>
      <c r="Q24" s="51" t="str">
        <f aca="false">IFERROR(INDEX(Static!$I$5:$L$15,MATCH(AE24,Static!$I$5:$I$15,0),4),"Y")</f>
        <v>Y</v>
      </c>
      <c r="R24" s="51" t="str">
        <f aca="false">IF(AND(AI24&lt;&gt;"",S24="N",$A$1&gt;=AI24-(7*$D$2)),"Y","N")</f>
        <v>N</v>
      </c>
      <c r="S24" s="51" t="str">
        <f aca="false">IF(AND(AI24&lt;&gt;"",$A$1&gt;=AI24),"Y","N")</f>
        <v>N</v>
      </c>
      <c r="T24" s="51" t="str">
        <f aca="false">IF(D24&gt;(($A$1-WEEKDAY($A$1,2))-7*$D$2),"Y","N")</f>
        <v>N</v>
      </c>
      <c r="U24" s="49" t="str">
        <f aca="false">IF(AR24&gt;0,"Y","N")</f>
        <v>N</v>
      </c>
      <c r="V24" s="51" t="str">
        <f aca="false">IF(AND(T24="Y",U24="N"),"Y","N")</f>
        <v>N</v>
      </c>
      <c r="W24" s="52" t="str">
        <f aca="false">IF(OR(R24="Y",AND(U24="Y",S24="Y"), $A$1=AI24),"Y","N")</f>
        <v>N</v>
      </c>
      <c r="X24" s="49" t="str">
        <f aca="false">IF(OR(AC24="Y",AC24="N"),AC24,IF(AND(Q24="Y", OR(T24="Y",V24="Y", W24="Y")),"Y","N"))</f>
        <v>N</v>
      </c>
      <c r="Y24" s="51" t="str">
        <f aca="false">IF(OR(P24="Y", U24="Y",W24="Y"),"Y","N")</f>
        <v>Y</v>
      </c>
      <c r="Z24" s="53" t="str">
        <f aca="false">" -  "&amp;O24&amp;AM24&amp;AN24&amp;AF24</f>
        <v>-  Amgt59. Manage Other</v>
      </c>
      <c r="AA24" s="51" t="str">
        <f aca="false">IFERROR(VLOOKUP(WEEKDAY(AB24),Static!$AL$3:$AM$11,2,0),"")</f>
        <v>Sun</v>
      </c>
      <c r="AB24" s="49" t="n">
        <f aca="false">IF(AH24&lt;&gt;"",AH24,AV24)</f>
        <v>44927</v>
      </c>
      <c r="AC24" s="54"/>
      <c r="AD24" s="54"/>
      <c r="AE24" s="55" t="s">
        <v>443</v>
      </c>
      <c r="AF24" s="56" t="s">
        <v>508</v>
      </c>
      <c r="AG24" s="58" t="s">
        <v>509</v>
      </c>
      <c r="AH24" s="54" t="n">
        <v>44927</v>
      </c>
      <c r="AI24" s="54"/>
      <c r="AJ24" s="57"/>
      <c r="AK24" s="54" t="s">
        <v>446</v>
      </c>
      <c r="AL24" s="54" t="s">
        <v>343</v>
      </c>
      <c r="AM24" s="54" t="s">
        <v>447</v>
      </c>
      <c r="AN24" s="54"/>
      <c r="AO24" s="58" t="s">
        <v>448</v>
      </c>
      <c r="AP24" s="56" t="s">
        <v>449</v>
      </c>
      <c r="AQ24" s="56"/>
      <c r="AR24" s="51" t="n">
        <f aca="false">SUM(F24:I24)</f>
        <v>0</v>
      </c>
      <c r="AS24" s="59" t="n">
        <f aca="false">IF(AF24="",1,IF(K24&lt;&gt;0,(G24*0.5+J24)/K24,1))</f>
        <v>1</v>
      </c>
      <c r="AT24" s="60" t="str">
        <f aca="false">IF(AP24="","",IF(ISERROR(FIND(CHAR(10),AP24,1)),AP24,LEFT(AP24,FIND(CHAR(10),AP24,1))))</f>
        <v>03-01-22: init</v>
      </c>
      <c r="AU24" s="61" t="str">
        <f aca="false">IF(AP24="","",IFERROR(RIGHT(AP24,LEN(AP24)-FIND("@@@",SUBSTITUTE(AP24,CHAR(10),"@@@",LEN(AP24)-LEN(SUBSTITUTE(AP24,CHAR(10),""))),1)),AP24))</f>
        <v>03-01-22: init</v>
      </c>
      <c r="AV24" s="62" t="n">
        <f aca="false">IFERROR(DATE(("20"&amp;MID(AT24,7,2))*1,MID(AT24,4,2)*1,MID(AT24,1,2)*1),"")</f>
        <v>44564</v>
      </c>
      <c r="AW24" s="62" t="n">
        <f aca="false">IFERROR(DATE(("20"&amp;MID(AU24,7,2))*1,MID(AU24,4,2)*1,MID(AU24,1,2)*1),"")</f>
        <v>44564</v>
      </c>
      <c r="AX24" s="56" t="s">
        <v>450</v>
      </c>
    </row>
    <row r="25" customFormat="false" ht="12.75" hidden="false" customHeight="true" outlineLevel="0" collapsed="false">
      <c r="A25" s="63"/>
      <c r="B25" s="49" t="str">
        <f aca="false">IF(AK25="","tbc",AK25)</f>
        <v>STE</v>
      </c>
      <c r="C25" s="49" t="str">
        <f aca="false">IF(AL25="","VNT",AL25)</f>
        <v>VNT</v>
      </c>
      <c r="D25" s="49" t="n">
        <f aca="false">MAX(AB25,IF(AW25="none",AB25,AW25))</f>
        <v>44927</v>
      </c>
      <c r="E25" s="50" t="n">
        <f aca="false">IFERROR(DAYS360(AB25,D25),0)</f>
        <v>0</v>
      </c>
      <c r="F25" s="50" t="n">
        <f aca="false">((LEN($AQ25)-LEN(SUBSTITUTE($AQ25,CHAR(10)&amp;". ","")))/3)+IF(LEFT(TRIM($AQ25),2)=". ",1,0)</f>
        <v>0</v>
      </c>
      <c r="G25" s="50" t="n">
        <f aca="false">((LEN($AQ25)-LEN(SUBSTITUTE($AQ25,CHAR(10)&amp;"/ ","")))/3)+IF(LEFT(TRIM($AQ25),2)="/ ",1,0)</f>
        <v>0</v>
      </c>
      <c r="H25" s="50" t="n">
        <f aca="false">((LEN($AQ25)-LEN(SUBSTITUTE($AQ25,CHAR(10)&amp;"~ ","")))/3)+IF(LEFT(TRIM($AQ25),2)="~ ",1,0)</f>
        <v>0</v>
      </c>
      <c r="I25" s="50" t="n">
        <f aca="false">((LEN($AQ25)-LEN(SUBSTITUTE($AQ25,CHAR(10)&amp;"! ","")))/3)+IF(LEFT(TRIM($AQ25),2)="! ",1,0)</f>
        <v>0</v>
      </c>
      <c r="J25" s="50" t="n">
        <f aca="false">((LEN($AQ25)-LEN(SUBSTITUTE($AQ25,CHAR(10)&amp;"x ","")))/3)+IF(LEFT(TRIM($AQ25),2)="x ",1,0)</f>
        <v>0</v>
      </c>
      <c r="K25" s="50" t="n">
        <f aca="false">SUM(F25:J25)</f>
        <v>0</v>
      </c>
      <c r="L25" s="51" t="n">
        <f aca="false">YEAR(D25)</f>
        <v>2023</v>
      </c>
      <c r="M25" s="51" t="str">
        <f aca="false">VLOOKUP(MONTH(D25),Static!$AJ$3:$AK$16,2,0)</f>
        <v>Jan</v>
      </c>
      <c r="N25" s="51" t="n">
        <f aca="false">WEEKNUM(D25,1)</f>
        <v>1</v>
      </c>
      <c r="O25" s="51" t="str">
        <f aca="false">IFERROR(INDEX(Static!$I$5:$L$15,MATCH(AE25,Static!$I$5:$I$15,0),3),"Z")</f>
        <v>A</v>
      </c>
      <c r="P25" s="51" t="str">
        <f aca="false">IFERROR(INDEX(Static!$I$5:$L$15,MATCH(AE25,Static!$I$5:$I$15,0),2),"Y")</f>
        <v>Y</v>
      </c>
      <c r="Q25" s="51" t="str">
        <f aca="false">IFERROR(INDEX(Static!$I$5:$L$15,MATCH(AE25,Static!$I$5:$I$15,0),4),"Y")</f>
        <v>Y</v>
      </c>
      <c r="R25" s="51" t="str">
        <f aca="false">IF(AND(AI25&lt;&gt;"",S25="N",$A$1&gt;=AI25-(7*$D$2)),"Y","N")</f>
        <v>N</v>
      </c>
      <c r="S25" s="51" t="str">
        <f aca="false">IF(AND(AI25&lt;&gt;"",$A$1&gt;=AI25),"Y","N")</f>
        <v>N</v>
      </c>
      <c r="T25" s="51" t="str">
        <f aca="false">IF(D25&gt;(($A$1-WEEKDAY($A$1,2))-7*$D$2),"Y","N")</f>
        <v>N</v>
      </c>
      <c r="U25" s="49" t="str">
        <f aca="false">IF(AR25&gt;0,"Y","N")</f>
        <v>N</v>
      </c>
      <c r="V25" s="51" t="str">
        <f aca="false">IF(AND(T25="Y",U25="N"),"Y","N")</f>
        <v>N</v>
      </c>
      <c r="W25" s="52" t="str">
        <f aca="false">IF(OR(R25="Y",AND(U25="Y",S25="Y"), $A$1=AI25),"Y","N")</f>
        <v>N</v>
      </c>
      <c r="X25" s="49" t="str">
        <f aca="false">IF(OR(AC25="Y",AC25="N"),AC25,IF(AND(Q25="Y", OR(T25="Y",V25="Y", W25="Y")),"Y","N"))</f>
        <v>N</v>
      </c>
      <c r="Y25" s="51" t="str">
        <f aca="false">IF(OR(P25="Y", U25="Y",W25="Y"),"Y","N")</f>
        <v>Y</v>
      </c>
      <c r="Z25" s="53" t="str">
        <f aca="false">" -  "&amp;O25&amp;AM25&amp;AN25&amp;AF25</f>
        <v>-  Amgt99. Manage Tools</v>
      </c>
      <c r="AA25" s="51" t="str">
        <f aca="false">IFERROR(VLOOKUP(WEEKDAY(AB25),Static!$AL$3:$AM$11,2,0),"")</f>
        <v>Sun</v>
      </c>
      <c r="AB25" s="49" t="n">
        <f aca="false">IF(AH25&lt;&gt;"",AH25,AV25)</f>
        <v>44927</v>
      </c>
      <c r="AC25" s="54"/>
      <c r="AD25" s="54"/>
      <c r="AE25" s="55" t="s">
        <v>443</v>
      </c>
      <c r="AF25" s="56" t="s">
        <v>510</v>
      </c>
      <c r="AG25" s="58" t="s">
        <v>511</v>
      </c>
      <c r="AH25" s="54" t="n">
        <v>44927</v>
      </c>
      <c r="AI25" s="54"/>
      <c r="AJ25" s="57"/>
      <c r="AK25" s="54" t="s">
        <v>446</v>
      </c>
      <c r="AL25" s="54" t="s">
        <v>343</v>
      </c>
      <c r="AM25" s="54" t="s">
        <v>447</v>
      </c>
      <c r="AN25" s="54"/>
      <c r="AO25" s="58" t="s">
        <v>448</v>
      </c>
      <c r="AP25" s="56" t="s">
        <v>449</v>
      </c>
      <c r="AQ25" s="58"/>
      <c r="AR25" s="51" t="n">
        <f aca="false">SUM(F25:I25)</f>
        <v>0</v>
      </c>
      <c r="AS25" s="59" t="n">
        <f aca="false">IF(AF25="",1,IF(K25&lt;&gt;0,(G25*0.5+J25)/K25,1))</f>
        <v>1</v>
      </c>
      <c r="AT25" s="60" t="str">
        <f aca="false">IF(AP25="","",IF(ISERROR(FIND(CHAR(10),AP25,1)),AP25,LEFT(AP25,FIND(CHAR(10),AP25,1))))</f>
        <v>03-01-22: init</v>
      </c>
      <c r="AU25" s="61" t="str">
        <f aca="false">IF(AP25="","",IFERROR(RIGHT(AP25,LEN(AP25)-FIND("@@@",SUBSTITUTE(AP25,CHAR(10),"@@@",LEN(AP25)-LEN(SUBSTITUTE(AP25,CHAR(10),""))),1)),AP25))</f>
        <v>03-01-22: init</v>
      </c>
      <c r="AV25" s="62" t="n">
        <f aca="false">IFERROR(DATE(("20"&amp;MID(AT25,7,2))*1,MID(AT25,4,2)*1,MID(AT25,1,2)*1),"")</f>
        <v>44564</v>
      </c>
      <c r="AW25" s="62" t="n">
        <f aca="false">IFERROR(DATE(("20"&amp;MID(AU25,7,2))*1,MID(AU25,4,2)*1,MID(AU25,1,2)*1),"")</f>
        <v>44564</v>
      </c>
      <c r="AX25" s="56" t="s">
        <v>450</v>
      </c>
    </row>
    <row r="26" customFormat="false" ht="12.75" hidden="false" customHeight="true" outlineLevel="0" collapsed="false">
      <c r="A26" s="63"/>
      <c r="B26" s="49" t="str">
        <f aca="false">IF(AK26="","tbc",AK26)</f>
        <v>STE</v>
      </c>
      <c r="C26" s="49" t="str">
        <f aca="false">IF(AL26="","VNT",AL26)</f>
        <v>VNT</v>
      </c>
      <c r="D26" s="49" t="n">
        <f aca="false">MAX(AB26,IF(AW26="none",AB26,AW26))</f>
        <v>44927</v>
      </c>
      <c r="E26" s="50" t="n">
        <f aca="false">IFERROR(DAYS360(AB26,D26),0)</f>
        <v>0</v>
      </c>
      <c r="F26" s="50" t="n">
        <f aca="false">((LEN($AQ26)-LEN(SUBSTITUTE($AQ26,CHAR(10)&amp;". ","")))/3)+IF(LEFT(TRIM($AQ26),2)=". ",1,0)</f>
        <v>0</v>
      </c>
      <c r="G26" s="50" t="n">
        <f aca="false">((LEN($AQ26)-LEN(SUBSTITUTE($AQ26,CHAR(10)&amp;"/ ","")))/3)+IF(LEFT(TRIM($AQ26),2)="/ ",1,0)</f>
        <v>0</v>
      </c>
      <c r="H26" s="50" t="n">
        <f aca="false">((LEN($AQ26)-LEN(SUBSTITUTE($AQ26,CHAR(10)&amp;"~ ","")))/3)+IF(LEFT(TRIM($AQ26),2)="~ ",1,0)</f>
        <v>0</v>
      </c>
      <c r="I26" s="50" t="n">
        <f aca="false">((LEN($AQ26)-LEN(SUBSTITUTE($AQ26,CHAR(10)&amp;"! ","")))/3)+IF(LEFT(TRIM($AQ26),2)="! ",1,0)</f>
        <v>0</v>
      </c>
      <c r="J26" s="50" t="n">
        <f aca="false">((LEN($AQ26)-LEN(SUBSTITUTE($AQ26,CHAR(10)&amp;"x ","")))/3)+IF(LEFT(TRIM($AQ26),2)="x ",1,0)</f>
        <v>0</v>
      </c>
      <c r="K26" s="50" t="n">
        <f aca="false">SUM(F26:J26)</f>
        <v>0</v>
      </c>
      <c r="L26" s="51" t="n">
        <f aca="false">YEAR(D26)</f>
        <v>2023</v>
      </c>
      <c r="M26" s="51" t="str">
        <f aca="false">VLOOKUP(MONTH(D26),Static!$AJ$3:$AK$16,2,0)</f>
        <v>Jan</v>
      </c>
      <c r="N26" s="51" t="n">
        <f aca="false">WEEKNUM(D26,1)</f>
        <v>1</v>
      </c>
      <c r="O26" s="51" t="str">
        <f aca="false">IFERROR(INDEX(Static!$I$5:$L$15,MATCH(AE26,Static!$I$5:$I$15,0),3),"Z")</f>
        <v>A</v>
      </c>
      <c r="P26" s="51" t="str">
        <f aca="false">IFERROR(INDEX(Static!$I$5:$L$15,MATCH(AE26,Static!$I$5:$I$15,0),2),"Y")</f>
        <v>Y</v>
      </c>
      <c r="Q26" s="51" t="str">
        <f aca="false">IFERROR(INDEX(Static!$I$5:$L$15,MATCH(AE26,Static!$I$5:$I$15,0),4),"Y")</f>
        <v>Y</v>
      </c>
      <c r="R26" s="51" t="str">
        <f aca="false">IF(AND(AI26&lt;&gt;"",S26="N",$A$1&gt;=AI26-(7*$D$2)),"Y","N")</f>
        <v>N</v>
      </c>
      <c r="S26" s="51" t="str">
        <f aca="false">IF(AND(AI26&lt;&gt;"",$A$1&gt;=AI26),"Y","N")</f>
        <v>N</v>
      </c>
      <c r="T26" s="51" t="str">
        <f aca="false">IF(D26&gt;(($A$1-WEEKDAY($A$1,2))-7*$D$2),"Y","N")</f>
        <v>N</v>
      </c>
      <c r="U26" s="49" t="str">
        <f aca="false">IF(AR26&gt;0,"Y","N")</f>
        <v>N</v>
      </c>
      <c r="V26" s="51" t="str">
        <f aca="false">IF(AND(T26="Y",U26="N"),"Y","N")</f>
        <v>N</v>
      </c>
      <c r="W26" s="52" t="str">
        <f aca="false">IF(OR(R26="Y",AND(U26="Y",S26="Y"), $A$1=AI26),"Y","N")</f>
        <v>N</v>
      </c>
      <c r="X26" s="49" t="str">
        <f aca="false">IF(OR(AC26="Y",AC26="N"),AC26,IF(AND(Q26="Y", OR(T26="Y",V26="Y", W26="Y")),"Y","N"))</f>
        <v>N</v>
      </c>
      <c r="Y26" s="51" t="str">
        <f aca="false">IF(OR(P26="Y", U26="Y",W26="Y"),"Y","N")</f>
        <v>Y</v>
      </c>
      <c r="Z26" s="53" t="str">
        <f aca="false">" -  "&amp;O26&amp;AM26&amp;AN26&amp;AF26</f>
        <v>-  AmgtAttend meeting xxx – D</v>
      </c>
      <c r="AA26" s="51" t="str">
        <f aca="false">IFERROR(VLOOKUP(WEEKDAY(AB26),Static!$AL$3:$AM$11,2,0),"")</f>
        <v>Sun</v>
      </c>
      <c r="AB26" s="49" t="n">
        <f aca="false">IF(AH26&lt;&gt;"",AH26,AV26)</f>
        <v>44927</v>
      </c>
      <c r="AC26" s="54"/>
      <c r="AD26" s="54"/>
      <c r="AE26" s="55" t="s">
        <v>443</v>
      </c>
      <c r="AF26" s="56" t="s">
        <v>512</v>
      </c>
      <c r="AG26" s="56" t="s">
        <v>513</v>
      </c>
      <c r="AH26" s="54" t="n">
        <v>44927</v>
      </c>
      <c r="AI26" s="54"/>
      <c r="AJ26" s="57"/>
      <c r="AK26" s="54" t="s">
        <v>446</v>
      </c>
      <c r="AL26" s="54" t="s">
        <v>343</v>
      </c>
      <c r="AM26" s="54" t="s">
        <v>447</v>
      </c>
      <c r="AN26" s="54"/>
      <c r="AO26" s="58" t="s">
        <v>448</v>
      </c>
      <c r="AP26" s="56" t="s">
        <v>449</v>
      </c>
      <c r="AQ26" s="58"/>
      <c r="AR26" s="51" t="n">
        <f aca="false">SUM(F26:I26)</f>
        <v>0</v>
      </c>
      <c r="AS26" s="59" t="n">
        <f aca="false">IF(AF26="",1,IF(K26&lt;&gt;0,(G26*0.5+J26)/K26,1))</f>
        <v>1</v>
      </c>
      <c r="AT26" s="60" t="str">
        <f aca="false">IF(AP26="","",IF(ISERROR(FIND(CHAR(10),AP26,1)),AP26,LEFT(AP26,FIND(CHAR(10),AP26,1))))</f>
        <v>03-01-22: init</v>
      </c>
      <c r="AU26" s="61" t="str">
        <f aca="false">IF(AP26="","",IFERROR(RIGHT(AP26,LEN(AP26)-FIND("@@@",SUBSTITUTE(AP26,CHAR(10),"@@@",LEN(AP26)-LEN(SUBSTITUTE(AP26,CHAR(10),""))),1)),AP26))</f>
        <v>03-01-22: init</v>
      </c>
      <c r="AV26" s="62" t="n">
        <f aca="false">IFERROR(DATE(("20"&amp;MID(AT26,7,2))*1,MID(AT26,4,2)*1,MID(AT26,1,2)*1),"")</f>
        <v>44564</v>
      </c>
      <c r="AW26" s="62" t="n">
        <f aca="false">IFERROR(DATE(("20"&amp;MID(AU26,7,2))*1,MID(AU26,4,2)*1,MID(AU26,1,2)*1),"")</f>
        <v>44564</v>
      </c>
      <c r="AX26" s="56" t="s">
        <v>450</v>
      </c>
    </row>
    <row r="27" customFormat="false" ht="12.75" hidden="false" customHeight="true" outlineLevel="0" collapsed="false">
      <c r="A27" s="63"/>
      <c r="B27" s="49" t="str">
        <f aca="false">IF(AK27="","tbc",AK27)</f>
        <v>STE</v>
      </c>
      <c r="C27" s="49" t="str">
        <f aca="false">IF(AL27="","VNT",AL27)</f>
        <v>VNT</v>
      </c>
      <c r="D27" s="49" t="n">
        <f aca="false">MAX(AB27,IF(AW27="none",AB27,AW27))</f>
        <v>44927</v>
      </c>
      <c r="E27" s="50" t="n">
        <f aca="false">IFERROR(DAYS360(AB27,D27),0)</f>
        <v>0</v>
      </c>
      <c r="F27" s="50" t="n">
        <f aca="false">((LEN($AQ27)-LEN(SUBSTITUTE($AQ27,CHAR(10)&amp;". ","")))/3)+IF(LEFT(TRIM($AQ27),2)=". ",1,0)</f>
        <v>0</v>
      </c>
      <c r="G27" s="50" t="n">
        <f aca="false">((LEN($AQ27)-LEN(SUBSTITUTE($AQ27,CHAR(10)&amp;"/ ","")))/3)+IF(LEFT(TRIM($AQ27),2)="/ ",1,0)</f>
        <v>0</v>
      </c>
      <c r="H27" s="50" t="n">
        <f aca="false">((LEN($AQ27)-LEN(SUBSTITUTE($AQ27,CHAR(10)&amp;"~ ","")))/3)+IF(LEFT(TRIM($AQ27),2)="~ ",1,0)</f>
        <v>0</v>
      </c>
      <c r="I27" s="50" t="n">
        <f aca="false">((LEN($AQ27)-LEN(SUBSTITUTE($AQ27,CHAR(10)&amp;"! ","")))/3)+IF(LEFT(TRIM($AQ27),2)="! ",1,0)</f>
        <v>0</v>
      </c>
      <c r="J27" s="50" t="n">
        <f aca="false">((LEN($AQ27)-LEN(SUBSTITUTE($AQ27,CHAR(10)&amp;"x ","")))/3)+IF(LEFT(TRIM($AQ27),2)="x ",1,0)</f>
        <v>0</v>
      </c>
      <c r="K27" s="50" t="n">
        <f aca="false">SUM(F27:J27)</f>
        <v>0</v>
      </c>
      <c r="L27" s="51" t="n">
        <f aca="false">YEAR(D27)</f>
        <v>2023</v>
      </c>
      <c r="M27" s="51" t="str">
        <f aca="false">VLOOKUP(MONTH(D27),Static!$AJ$3:$AK$16,2,0)</f>
        <v>Jan</v>
      </c>
      <c r="N27" s="51" t="n">
        <f aca="false">WEEKNUM(D27,1)</f>
        <v>1</v>
      </c>
      <c r="O27" s="51" t="str">
        <f aca="false">IFERROR(INDEX(Static!$I$5:$L$15,MATCH(AE27,Static!$I$5:$I$15,0),3),"Z")</f>
        <v>A</v>
      </c>
      <c r="P27" s="51" t="str">
        <f aca="false">IFERROR(INDEX(Static!$I$5:$L$15,MATCH(AE27,Static!$I$5:$I$15,0),2),"Y")</f>
        <v>Y</v>
      </c>
      <c r="Q27" s="51" t="str">
        <f aca="false">IFERROR(INDEX(Static!$I$5:$L$15,MATCH(AE27,Static!$I$5:$I$15,0),4),"Y")</f>
        <v>Y</v>
      </c>
      <c r="R27" s="51" t="str">
        <f aca="false">IF(AND(AI27&lt;&gt;"",S27="N",$A$1&gt;=AI27-(7*$D$2)),"Y","N")</f>
        <v>N</v>
      </c>
      <c r="S27" s="51" t="str">
        <f aca="false">IF(AND(AI27&lt;&gt;"",$A$1&gt;=AI27),"Y","N")</f>
        <v>N</v>
      </c>
      <c r="T27" s="51" t="str">
        <f aca="false">IF(D27&gt;(($A$1-WEEKDAY($A$1,2))-7*$D$2),"Y","N")</f>
        <v>N</v>
      </c>
      <c r="U27" s="49" t="str">
        <f aca="false">IF(AR27&gt;0,"Y","N")</f>
        <v>N</v>
      </c>
      <c r="V27" s="51" t="str">
        <f aca="false">IF(AND(T27="Y",U27="N"),"Y","N")</f>
        <v>N</v>
      </c>
      <c r="W27" s="52" t="str">
        <f aca="false">IF(OR(R27="Y",AND(U27="Y",S27="Y"), $A$1=AI27),"Y","N")</f>
        <v>N</v>
      </c>
      <c r="X27" s="49" t="str">
        <f aca="false">IF(OR(AC27="Y",AC27="N"),AC27,IF(AND(Q27="Y", OR(T27="Y",V27="Y", W27="Y")),"Y","N"))</f>
        <v>N</v>
      </c>
      <c r="Y27" s="51" t="str">
        <f aca="false">IF(OR(P27="Y", U27="Y",W27="Y"),"Y","N")</f>
        <v>Y</v>
      </c>
      <c r="Z27" s="53" t="str">
        <f aca="false">" -  "&amp;O27&amp;AM27&amp;AN27&amp;AF27</f>
        <v>-  AmgtAttend meeting xxx – M</v>
      </c>
      <c r="AA27" s="51" t="str">
        <f aca="false">IFERROR(VLOOKUP(WEEKDAY(AB27),Static!$AL$3:$AM$11,2,0),"")</f>
        <v>Sun</v>
      </c>
      <c r="AB27" s="49" t="n">
        <f aca="false">IF(AH27&lt;&gt;"",AH27,AV27)</f>
        <v>44927</v>
      </c>
      <c r="AC27" s="54"/>
      <c r="AD27" s="54"/>
      <c r="AE27" s="55" t="s">
        <v>443</v>
      </c>
      <c r="AF27" s="56" t="s">
        <v>514</v>
      </c>
      <c r="AG27" s="56" t="s">
        <v>515</v>
      </c>
      <c r="AH27" s="54" t="n">
        <v>44927</v>
      </c>
      <c r="AI27" s="54"/>
      <c r="AJ27" s="57"/>
      <c r="AK27" s="54" t="s">
        <v>446</v>
      </c>
      <c r="AL27" s="54" t="s">
        <v>343</v>
      </c>
      <c r="AM27" s="54" t="s">
        <v>447</v>
      </c>
      <c r="AN27" s="54"/>
      <c r="AO27" s="58" t="s">
        <v>448</v>
      </c>
      <c r="AP27" s="56" t="s">
        <v>449</v>
      </c>
      <c r="AQ27" s="56"/>
      <c r="AR27" s="51" t="n">
        <f aca="false">SUM(F27:I27)</f>
        <v>0</v>
      </c>
      <c r="AS27" s="59" t="n">
        <f aca="false">IF(AF27="",1,IF(K27&lt;&gt;0,(G27*0.5+J27)/K27,1))</f>
        <v>1</v>
      </c>
      <c r="AT27" s="60" t="str">
        <f aca="false">IF(AP27="","",IF(ISERROR(FIND(CHAR(10),AP27,1)),AP27,LEFT(AP27,FIND(CHAR(10),AP27,1))))</f>
        <v>03-01-22: init</v>
      </c>
      <c r="AU27" s="61" t="str">
        <f aca="false">IF(AP27="","",IFERROR(RIGHT(AP27,LEN(AP27)-FIND("@@@",SUBSTITUTE(AP27,CHAR(10),"@@@",LEN(AP27)-LEN(SUBSTITUTE(AP27,CHAR(10),""))),1)),AP27))</f>
        <v>03-01-22: init</v>
      </c>
      <c r="AV27" s="62" t="n">
        <f aca="false">IFERROR(DATE(("20"&amp;MID(AT27,7,2))*1,MID(AT27,4,2)*1,MID(AT27,1,2)*1),"")</f>
        <v>44564</v>
      </c>
      <c r="AW27" s="62" t="n">
        <f aca="false">IFERROR(DATE(("20"&amp;MID(AU27,7,2))*1,MID(AU27,4,2)*1,MID(AU27,1,2)*1),"")</f>
        <v>44564</v>
      </c>
      <c r="AX27" s="56" t="s">
        <v>450</v>
      </c>
    </row>
    <row r="28" customFormat="false" ht="12.75" hidden="false" customHeight="true" outlineLevel="0" collapsed="false">
      <c r="A28" s="63"/>
      <c r="B28" s="49" t="str">
        <f aca="false">IF(AK28="","tbc",AK28)</f>
        <v>STE</v>
      </c>
      <c r="C28" s="49" t="str">
        <f aca="false">IF(AL28="","VNT",AL28)</f>
        <v>VNT</v>
      </c>
      <c r="D28" s="49" t="n">
        <f aca="false">MAX(AB28,IF(AW28="none",AB28,AW28))</f>
        <v>44927</v>
      </c>
      <c r="E28" s="50" t="n">
        <f aca="false">IFERROR(DAYS360(AB28,D28),0)</f>
        <v>0</v>
      </c>
      <c r="F28" s="50" t="n">
        <f aca="false">((LEN($AQ28)-LEN(SUBSTITUTE($AQ28,CHAR(10)&amp;". ","")))/3)+IF(LEFT(TRIM($AQ28),2)=". ",1,0)</f>
        <v>0</v>
      </c>
      <c r="G28" s="50" t="n">
        <f aca="false">((LEN($AQ28)-LEN(SUBSTITUTE($AQ28,CHAR(10)&amp;"/ ","")))/3)+IF(LEFT(TRIM($AQ28),2)="/ ",1,0)</f>
        <v>0</v>
      </c>
      <c r="H28" s="50" t="n">
        <f aca="false">((LEN($AQ28)-LEN(SUBSTITUTE($AQ28,CHAR(10)&amp;"~ ","")))/3)+IF(LEFT(TRIM($AQ28),2)="~ ",1,0)</f>
        <v>0</v>
      </c>
      <c r="I28" s="50" t="n">
        <f aca="false">((LEN($AQ28)-LEN(SUBSTITUTE($AQ28,CHAR(10)&amp;"! ","")))/3)+IF(LEFT(TRIM($AQ28),2)="! ",1,0)</f>
        <v>0</v>
      </c>
      <c r="J28" s="50" t="n">
        <f aca="false">((LEN($AQ28)-LEN(SUBSTITUTE($AQ28,CHAR(10)&amp;"x ","")))/3)+IF(LEFT(TRIM($AQ28),2)="x ",1,0)</f>
        <v>0</v>
      </c>
      <c r="K28" s="50" t="n">
        <f aca="false">SUM(F28:J28)</f>
        <v>0</v>
      </c>
      <c r="L28" s="51" t="n">
        <f aca="false">YEAR(D28)</f>
        <v>2023</v>
      </c>
      <c r="M28" s="51" t="str">
        <f aca="false">VLOOKUP(MONTH(D28),Static!$AJ$3:$AK$16,2,0)</f>
        <v>Jan</v>
      </c>
      <c r="N28" s="51" t="n">
        <f aca="false">WEEKNUM(D28,1)</f>
        <v>1</v>
      </c>
      <c r="O28" s="51" t="str">
        <f aca="false">IFERROR(INDEX(Static!$I$5:$L$15,MATCH(AE28,Static!$I$5:$I$15,0),3),"Z")</f>
        <v>A</v>
      </c>
      <c r="P28" s="51" t="str">
        <f aca="false">IFERROR(INDEX(Static!$I$5:$L$15,MATCH(AE28,Static!$I$5:$I$15,0),2),"Y")</f>
        <v>Y</v>
      </c>
      <c r="Q28" s="51" t="str">
        <f aca="false">IFERROR(INDEX(Static!$I$5:$L$15,MATCH(AE28,Static!$I$5:$I$15,0),4),"Y")</f>
        <v>Y</v>
      </c>
      <c r="R28" s="51" t="str">
        <f aca="false">IF(AND(AI28&lt;&gt;"",S28="N",$A$1&gt;=AI28-(7*$D$2)),"Y","N")</f>
        <v>N</v>
      </c>
      <c r="S28" s="51" t="str">
        <f aca="false">IF(AND(AI28&lt;&gt;"",$A$1&gt;=AI28),"Y","N")</f>
        <v>N</v>
      </c>
      <c r="T28" s="51" t="str">
        <f aca="false">IF(D28&gt;(($A$1-WEEKDAY($A$1,2))-7*$D$2),"Y","N")</f>
        <v>N</v>
      </c>
      <c r="U28" s="49" t="str">
        <f aca="false">IF(AR28&gt;0,"Y","N")</f>
        <v>N</v>
      </c>
      <c r="V28" s="51" t="str">
        <f aca="false">IF(AND(T28="Y",U28="N"),"Y","N")</f>
        <v>N</v>
      </c>
      <c r="W28" s="52" t="str">
        <f aca="false">IF(OR(R28="Y",AND(U28="Y",S28="Y"), $A$1=AI28),"Y","N")</f>
        <v>N</v>
      </c>
      <c r="X28" s="49" t="str">
        <f aca="false">IF(OR(AC28="Y",AC28="N"),AC28,IF(AND(Q28="Y", OR(T28="Y",V28="Y", W28="Y")),"Y","N"))</f>
        <v>N</v>
      </c>
      <c r="Y28" s="51" t="str">
        <f aca="false">IF(OR(P28="Y", U28="Y",W28="Y"),"Y","N")</f>
        <v>Y</v>
      </c>
      <c r="Z28" s="53" t="str">
        <f aca="false">" -  "&amp;O28&amp;AM28&amp;AN28&amp;AF28</f>
        <v>-  AmgtAudit Venture</v>
      </c>
      <c r="AA28" s="51" t="str">
        <f aca="false">IFERROR(VLOOKUP(WEEKDAY(AB28),Static!$AL$3:$AM$11,2,0),"")</f>
        <v>Sun</v>
      </c>
      <c r="AB28" s="49" t="n">
        <f aca="false">IF(AH28&lt;&gt;"",AH28,AV28)</f>
        <v>44927</v>
      </c>
      <c r="AC28" s="54"/>
      <c r="AD28" s="54"/>
      <c r="AE28" s="55" t="s">
        <v>443</v>
      </c>
      <c r="AF28" s="56" t="s">
        <v>516</v>
      </c>
      <c r="AG28" s="56" t="s">
        <v>517</v>
      </c>
      <c r="AH28" s="54" t="n">
        <v>44927</v>
      </c>
      <c r="AI28" s="54"/>
      <c r="AJ28" s="57"/>
      <c r="AK28" s="54" t="s">
        <v>446</v>
      </c>
      <c r="AL28" s="54" t="s">
        <v>343</v>
      </c>
      <c r="AM28" s="54" t="s">
        <v>447</v>
      </c>
      <c r="AN28" s="54"/>
      <c r="AO28" s="58" t="s">
        <v>448</v>
      </c>
      <c r="AP28" s="56" t="s">
        <v>449</v>
      </c>
      <c r="AQ28" s="58"/>
      <c r="AR28" s="51" t="n">
        <f aca="false">SUM(F28:I28)</f>
        <v>0</v>
      </c>
      <c r="AS28" s="59" t="n">
        <f aca="false">IF(AF28="",1,IF(K28&lt;&gt;0,(G28*0.5+J28)/K28,1))</f>
        <v>1</v>
      </c>
      <c r="AT28" s="60" t="str">
        <f aca="false">IF(AP28="","",IF(ISERROR(FIND(CHAR(10),AP28,1)),AP28,LEFT(AP28,FIND(CHAR(10),AP28,1))))</f>
        <v>03-01-22: init</v>
      </c>
      <c r="AU28" s="61" t="str">
        <f aca="false">IF(AP28="","",IFERROR(RIGHT(AP28,LEN(AP28)-FIND("@@@",SUBSTITUTE(AP28,CHAR(10),"@@@",LEN(AP28)-LEN(SUBSTITUTE(AP28,CHAR(10),""))),1)),AP28))</f>
        <v>03-01-22: init</v>
      </c>
      <c r="AV28" s="62" t="n">
        <f aca="false">IFERROR(DATE(("20"&amp;MID(AT28,7,2))*1,MID(AT28,4,2)*1,MID(AT28,1,2)*1),"")</f>
        <v>44564</v>
      </c>
      <c r="AW28" s="62" t="n">
        <f aca="false">IFERROR(DATE(("20"&amp;MID(AU28,7,2))*1,MID(AU28,4,2)*1,MID(AU28,1,2)*1),"")</f>
        <v>44564</v>
      </c>
      <c r="AX28" s="56" t="s">
        <v>450</v>
      </c>
    </row>
    <row r="29" customFormat="false" ht="12.75" hidden="false" customHeight="true" outlineLevel="0" collapsed="false">
      <c r="A29" s="63"/>
      <c r="B29" s="49" t="str">
        <f aca="false">IF(AK29="","tbc",AK29)</f>
        <v>STE</v>
      </c>
      <c r="C29" s="49" t="str">
        <f aca="false">IF(AL29="","VNT",AL29)</f>
        <v>VNT</v>
      </c>
      <c r="D29" s="49" t="n">
        <f aca="false">MAX(AB29,IF(AW29="none",AB29,AW29))</f>
        <v>44927</v>
      </c>
      <c r="E29" s="50" t="n">
        <f aca="false">IFERROR(DAYS360(AB29,D29),0)</f>
        <v>0</v>
      </c>
      <c r="F29" s="50" t="n">
        <f aca="false">((LEN($AQ29)-LEN(SUBSTITUTE($AQ29,CHAR(10)&amp;". ","")))/3)+IF(LEFT(TRIM($AQ29),2)=". ",1,0)</f>
        <v>0</v>
      </c>
      <c r="G29" s="50" t="n">
        <f aca="false">((LEN($AQ29)-LEN(SUBSTITUTE($AQ29,CHAR(10)&amp;"/ ","")))/3)+IF(LEFT(TRIM($AQ29),2)="/ ",1,0)</f>
        <v>0</v>
      </c>
      <c r="H29" s="50" t="n">
        <f aca="false">((LEN($AQ29)-LEN(SUBSTITUTE($AQ29,CHAR(10)&amp;"~ ","")))/3)+IF(LEFT(TRIM($AQ29),2)="~ ",1,0)</f>
        <v>0</v>
      </c>
      <c r="I29" s="50" t="n">
        <f aca="false">((LEN($AQ29)-LEN(SUBSTITUTE($AQ29,CHAR(10)&amp;"! ","")))/3)+IF(LEFT(TRIM($AQ29),2)="! ",1,0)</f>
        <v>0</v>
      </c>
      <c r="J29" s="50" t="n">
        <f aca="false">((LEN($AQ29)-LEN(SUBSTITUTE($AQ29,CHAR(10)&amp;"x ","")))/3)+IF(LEFT(TRIM($AQ29),2)="x ",1,0)</f>
        <v>0</v>
      </c>
      <c r="K29" s="50" t="n">
        <f aca="false">SUM(F29:J29)</f>
        <v>0</v>
      </c>
      <c r="L29" s="51" t="n">
        <f aca="false">YEAR(D29)</f>
        <v>2023</v>
      </c>
      <c r="M29" s="51" t="str">
        <f aca="false">VLOOKUP(MONTH(D29),Static!$AJ$3:$AK$16,2,0)</f>
        <v>Jan</v>
      </c>
      <c r="N29" s="51" t="n">
        <f aca="false">WEEKNUM(D29,1)</f>
        <v>1</v>
      </c>
      <c r="O29" s="51" t="str">
        <f aca="false">IFERROR(INDEX(Static!$I$5:$L$15,MATCH(AE29,Static!$I$5:$I$15,0),3),"Z")</f>
        <v>A</v>
      </c>
      <c r="P29" s="51" t="str">
        <f aca="false">IFERROR(INDEX(Static!$I$5:$L$15,MATCH(AE29,Static!$I$5:$I$15,0),2),"Y")</f>
        <v>Y</v>
      </c>
      <c r="Q29" s="51" t="str">
        <f aca="false">IFERROR(INDEX(Static!$I$5:$L$15,MATCH(AE29,Static!$I$5:$I$15,0),4),"Y")</f>
        <v>Y</v>
      </c>
      <c r="R29" s="51" t="str">
        <f aca="false">IF(AND(AI29&lt;&gt;"",S29="N",$A$1&gt;=AI29-(7*$D$2)),"Y","N")</f>
        <v>N</v>
      </c>
      <c r="S29" s="51" t="str">
        <f aca="false">IF(AND(AI29&lt;&gt;"",$A$1&gt;=AI29),"Y","N")</f>
        <v>N</v>
      </c>
      <c r="T29" s="51" t="str">
        <f aca="false">IF(D29&gt;(($A$1-WEEKDAY($A$1,2))-7*$D$2),"Y","N")</f>
        <v>N</v>
      </c>
      <c r="U29" s="49" t="str">
        <f aca="false">IF(AR29&gt;0,"Y","N")</f>
        <v>N</v>
      </c>
      <c r="V29" s="51" t="str">
        <f aca="false">IF(AND(T29="Y",U29="N"),"Y","N")</f>
        <v>N</v>
      </c>
      <c r="W29" s="52" t="str">
        <f aca="false">IF(OR(R29="Y",AND(U29="Y",S29="Y"), $A$1=AI29),"Y","N")</f>
        <v>N</v>
      </c>
      <c r="X29" s="49" t="str">
        <f aca="false">IF(OR(AC29="Y",AC29="N"),AC29,IF(AND(Q29="Y", OR(T29="Y",V29="Y", W29="Y")),"Y","N"))</f>
        <v>N</v>
      </c>
      <c r="Y29" s="51" t="str">
        <f aca="false">IF(OR(P29="Y", U29="Y",W29="Y"),"Y","N")</f>
        <v>Y</v>
      </c>
      <c r="Z29" s="53" t="str">
        <f aca="false">" -  "&amp;O29&amp;AM29&amp;AN29&amp;AF29</f>
        <v>-  AmgtCheck control xxx – D</v>
      </c>
      <c r="AA29" s="51" t="str">
        <f aca="false">IFERROR(VLOOKUP(WEEKDAY(AB29),Static!$AL$3:$AM$11,2,0),"")</f>
        <v>Sun</v>
      </c>
      <c r="AB29" s="49" t="n">
        <f aca="false">IF(AH29&lt;&gt;"",AH29,AV29)</f>
        <v>44927</v>
      </c>
      <c r="AC29" s="54"/>
      <c r="AD29" s="54"/>
      <c r="AE29" s="55" t="s">
        <v>443</v>
      </c>
      <c r="AF29" s="56" t="s">
        <v>518</v>
      </c>
      <c r="AG29" s="56" t="s">
        <v>519</v>
      </c>
      <c r="AH29" s="54" t="n">
        <v>44927</v>
      </c>
      <c r="AI29" s="54"/>
      <c r="AJ29" s="57"/>
      <c r="AK29" s="54" t="s">
        <v>446</v>
      </c>
      <c r="AL29" s="54" t="s">
        <v>343</v>
      </c>
      <c r="AM29" s="54" t="s">
        <v>447</v>
      </c>
      <c r="AN29" s="54"/>
      <c r="AO29" s="58" t="s">
        <v>448</v>
      </c>
      <c r="AP29" s="56" t="s">
        <v>449</v>
      </c>
      <c r="AQ29" s="58"/>
      <c r="AR29" s="51" t="n">
        <f aca="false">SUM(F29:I29)</f>
        <v>0</v>
      </c>
      <c r="AS29" s="59" t="n">
        <f aca="false">IF(AF29="",1,IF(K29&lt;&gt;0,(G29*0.5+J29)/K29,1))</f>
        <v>1</v>
      </c>
      <c r="AT29" s="60" t="str">
        <f aca="false">IF(AP29="","",IF(ISERROR(FIND(CHAR(10),AP29,1)),AP29,LEFT(AP29,FIND(CHAR(10),AP29,1))))</f>
        <v>03-01-22: init</v>
      </c>
      <c r="AU29" s="61" t="str">
        <f aca="false">IF(AP29="","",IFERROR(RIGHT(AP29,LEN(AP29)-FIND("@@@",SUBSTITUTE(AP29,CHAR(10),"@@@",LEN(AP29)-LEN(SUBSTITUTE(AP29,CHAR(10),""))),1)),AP29))</f>
        <v>03-01-22: init</v>
      </c>
      <c r="AV29" s="62" t="n">
        <f aca="false">IFERROR(DATE(("20"&amp;MID(AT29,7,2))*1,MID(AT29,4,2)*1,MID(AT29,1,2)*1),"")</f>
        <v>44564</v>
      </c>
      <c r="AW29" s="62" t="n">
        <f aca="false">IFERROR(DATE(("20"&amp;MID(AU29,7,2))*1,MID(AU29,4,2)*1,MID(AU29,1,2)*1),"")</f>
        <v>44564</v>
      </c>
      <c r="AX29" s="56" t="s">
        <v>450</v>
      </c>
    </row>
    <row r="30" customFormat="false" ht="12.75" hidden="false" customHeight="true" outlineLevel="0" collapsed="false">
      <c r="B30" s="49" t="str">
        <f aca="false">IF(AK30="","tbc",AK30)</f>
        <v>STE</v>
      </c>
      <c r="C30" s="49" t="str">
        <f aca="false">IF(AL30="","VNT",AL30)</f>
        <v>VNT</v>
      </c>
      <c r="D30" s="49" t="n">
        <f aca="false">MAX(AB30,IF(AW30="none",AB30,AW30))</f>
        <v>45030</v>
      </c>
      <c r="E30" s="50" t="n">
        <f aca="false">IFERROR(DAYS360(AB30,D30),0)</f>
        <v>103</v>
      </c>
      <c r="F30" s="50" t="n">
        <f aca="false">((LEN($AQ30)-LEN(SUBSTITUTE($AQ30,CHAR(10)&amp;". ","")))/3)+IF(LEFT(TRIM($AQ30),2)=". ",1,0)</f>
        <v>0</v>
      </c>
      <c r="G30" s="50" t="n">
        <f aca="false">((LEN($AQ30)-LEN(SUBSTITUTE($AQ30,CHAR(10)&amp;"/ ","")))/3)+IF(LEFT(TRIM($AQ30),2)="/ ",1,0)</f>
        <v>0</v>
      </c>
      <c r="H30" s="50" t="n">
        <f aca="false">((LEN($AQ30)-LEN(SUBSTITUTE($AQ30,CHAR(10)&amp;"~ ","")))/3)+IF(LEFT(TRIM($AQ30),2)="~ ",1,0)</f>
        <v>0</v>
      </c>
      <c r="I30" s="50" t="n">
        <f aca="false">((LEN($AQ30)-LEN(SUBSTITUTE($AQ30,CHAR(10)&amp;"! ","")))/3)+IF(LEFT(TRIM($AQ30),2)="! ",1,0)</f>
        <v>0</v>
      </c>
      <c r="J30" s="50" t="n">
        <f aca="false">((LEN($AQ30)-LEN(SUBSTITUTE($AQ30,CHAR(10)&amp;"x ","")))/3)+IF(LEFT(TRIM($AQ30),2)="x ",1,0)</f>
        <v>0</v>
      </c>
      <c r="K30" s="50" t="n">
        <f aca="false">SUM(F30:J30)</f>
        <v>0</v>
      </c>
      <c r="L30" s="51" t="n">
        <f aca="false">YEAR(D30)</f>
        <v>2023</v>
      </c>
      <c r="M30" s="51" t="str">
        <f aca="false">VLOOKUP(MONTH(D30),Static!$AJ$3:$AK$16,2,0)</f>
        <v>Apr</v>
      </c>
      <c r="N30" s="51" t="n">
        <f aca="false">WEEKNUM(D30,1)</f>
        <v>15</v>
      </c>
      <c r="O30" s="51" t="str">
        <f aca="false">IFERROR(INDEX(Static!$I$5:$L$15,MATCH(AE30,Static!$I$5:$I$15,0),3),"Z")</f>
        <v>A</v>
      </c>
      <c r="P30" s="51" t="str">
        <f aca="false">IFERROR(INDEX(Static!$I$5:$L$15,MATCH(AE30,Static!$I$5:$I$15,0),2),"Y")</f>
        <v>Y</v>
      </c>
      <c r="Q30" s="51" t="str">
        <f aca="false">IFERROR(INDEX(Static!$I$5:$L$15,MATCH(AE30,Static!$I$5:$I$15,0),4),"Y")</f>
        <v>Y</v>
      </c>
      <c r="R30" s="51" t="str">
        <f aca="false">IF(AND(AI30&lt;&gt;"",S30="N",$A$1&gt;=AI30-(7*$D$2)),"Y","N")</f>
        <v>N</v>
      </c>
      <c r="S30" s="51" t="str">
        <f aca="false">IF(AND(AI30&lt;&gt;"",$A$1&gt;=AI30),"Y","N")</f>
        <v>N</v>
      </c>
      <c r="T30" s="51" t="str">
        <f aca="false">IF(D30&gt;(($A$1-WEEKDAY($A$1,2))-7*$D$2),"Y","N")</f>
        <v>N</v>
      </c>
      <c r="U30" s="49" t="str">
        <f aca="false">IF(AR30&gt;0,"Y","N")</f>
        <v>N</v>
      </c>
      <c r="V30" s="51" t="str">
        <f aca="false">IF(AND(T30="Y",U30="N"),"Y","N")</f>
        <v>N</v>
      </c>
      <c r="W30" s="52" t="str">
        <f aca="false">IF(OR(R30="Y",AND(U30="Y",S30="Y"), $A$1=AI30),"Y","N")</f>
        <v>N</v>
      </c>
      <c r="X30" s="49" t="str">
        <f aca="false">IF(OR(AC30="Y",AC30="N"),AC30,IF(AND(Q30="Y", OR(T30="Y",V30="Y", W30="Y")),"Y","N"))</f>
        <v>N</v>
      </c>
      <c r="Y30" s="51" t="str">
        <f aca="false">IF(OR(P30="Y", U30="Y",W30="Y"),"Y","N")</f>
        <v>Y</v>
      </c>
      <c r="Z30" s="53" t="str">
        <f aca="false">" -  "&amp;O30&amp;AM30&amp;AN30&amp;AF30</f>
        <v>-  AmgtManage 0. Manamement</v>
      </c>
      <c r="AA30" s="51" t="str">
        <f aca="false">IFERROR(VLOOKUP(WEEKDAY(AB30),Static!$AL$3:$AM$11,2,0),"")</f>
        <v>Sun</v>
      </c>
      <c r="AB30" s="49" t="n">
        <f aca="false">IF(AH30&lt;&gt;"",AH30,AV30)</f>
        <v>44927</v>
      </c>
      <c r="AC30" s="54"/>
      <c r="AD30" s="54"/>
      <c r="AE30" s="55" t="s">
        <v>443</v>
      </c>
      <c r="AF30" s="56" t="s">
        <v>520</v>
      </c>
      <c r="AG30" s="56" t="s">
        <v>521</v>
      </c>
      <c r="AH30" s="54" t="n">
        <v>44927</v>
      </c>
      <c r="AI30" s="54"/>
      <c r="AJ30" s="57"/>
      <c r="AK30" s="54" t="s">
        <v>446</v>
      </c>
      <c r="AL30" s="54" t="s">
        <v>343</v>
      </c>
      <c r="AM30" s="54" t="s">
        <v>447</v>
      </c>
      <c r="AN30" s="54"/>
      <c r="AO30" s="58" t="s">
        <v>522</v>
      </c>
      <c r="AP30" s="58" t="s">
        <v>523</v>
      </c>
      <c r="AQ30" s="58"/>
      <c r="AR30" s="51" t="n">
        <f aca="false">SUM(F30:I30)</f>
        <v>0</v>
      </c>
      <c r="AS30" s="59" t="n">
        <f aca="false">IF(AF30="",1,IF(K30&lt;&gt;0,(G30*0.5+J30)/K30,1))</f>
        <v>1</v>
      </c>
      <c r="AT30" s="60" t="str">
        <f aca="false">IF(AP30="","",IF(ISERROR(FIND(CHAR(10),AP30,1)),AP30,LEFT(AP30,FIND(CHAR(10),AP30,1))))</f>
        <v>03-01-22: init</v>
      </c>
      <c r="AU30" s="61" t="str">
        <f aca="false">IF(AP30="","",IFERROR(RIGHT(AP30,LEN(AP30)-FIND("@@@",SUBSTITUTE(AP30,CHAR(10),"@@@",LEN(AP30)-LEN(SUBSTITUTE(AP30,CHAR(10),""))),1)),AP30))</f>
        <v>14-04-23: report</v>
      </c>
      <c r="AV30" s="62" t="n">
        <f aca="false">IFERROR(DATE(("20"&amp;MID(AT30,7,2))*1,MID(AT30,4,2)*1,MID(AT30,1,2)*1),"")</f>
        <v>44564</v>
      </c>
      <c r="AW30" s="62" t="n">
        <f aca="false">IFERROR(DATE(("20"&amp;MID(AU30,7,2))*1,MID(AU30,4,2)*1,MID(AU30,1,2)*1),"")</f>
        <v>45030</v>
      </c>
      <c r="AX30" s="56" t="s">
        <v>450</v>
      </c>
    </row>
    <row r="31" customFormat="false" ht="12.75" hidden="false" customHeight="true" outlineLevel="0" collapsed="false">
      <c r="A31" s="63"/>
      <c r="B31" s="49" t="str">
        <f aca="false">IF(AK31="","tbc",AK31)</f>
        <v>STE</v>
      </c>
      <c r="C31" s="49" t="str">
        <f aca="false">IF(AL31="","VNT",AL31)</f>
        <v>VNT</v>
      </c>
      <c r="D31" s="49" t="n">
        <f aca="false">MAX(AB31,IF(AW31="none",AB31,AW31))</f>
        <v>44927</v>
      </c>
      <c r="E31" s="50" t="n">
        <f aca="false">IFERROR(DAYS360(AB31,D31),0)</f>
        <v>0</v>
      </c>
      <c r="F31" s="50" t="n">
        <f aca="false">((LEN($AQ31)-LEN(SUBSTITUTE($AQ31,CHAR(10)&amp;". ","")))/3)+IF(LEFT(TRIM($AQ31),2)=". ",1,0)</f>
        <v>0</v>
      </c>
      <c r="G31" s="50" t="n">
        <f aca="false">((LEN($AQ31)-LEN(SUBSTITUTE($AQ31,CHAR(10)&amp;"/ ","")))/3)+IF(LEFT(TRIM($AQ31),2)="/ ",1,0)</f>
        <v>0</v>
      </c>
      <c r="H31" s="50" t="n">
        <f aca="false">((LEN($AQ31)-LEN(SUBSTITUTE($AQ31,CHAR(10)&amp;"~ ","")))/3)+IF(LEFT(TRIM($AQ31),2)="~ ",1,0)</f>
        <v>0</v>
      </c>
      <c r="I31" s="50" t="n">
        <f aca="false">((LEN($AQ31)-LEN(SUBSTITUTE($AQ31,CHAR(10)&amp;"! ","")))/3)+IF(LEFT(TRIM($AQ31),2)="! ",1,0)</f>
        <v>0</v>
      </c>
      <c r="J31" s="50" t="n">
        <f aca="false">((LEN($AQ31)-LEN(SUBSTITUTE($AQ31,CHAR(10)&amp;"x ","")))/3)+IF(LEFT(TRIM($AQ31),2)="x ",1,0)</f>
        <v>0</v>
      </c>
      <c r="K31" s="50" t="n">
        <f aca="false">SUM(F31:J31)</f>
        <v>0</v>
      </c>
      <c r="L31" s="51" t="n">
        <f aca="false">YEAR(D31)</f>
        <v>2023</v>
      </c>
      <c r="M31" s="51" t="str">
        <f aca="false">VLOOKUP(MONTH(D31),Static!$AJ$3:$AK$16,2,0)</f>
        <v>Jan</v>
      </c>
      <c r="N31" s="51" t="n">
        <f aca="false">WEEKNUM(D31,1)</f>
        <v>1</v>
      </c>
      <c r="O31" s="51" t="str">
        <f aca="false">IFERROR(INDEX(Static!$I$5:$L$15,MATCH(AE31,Static!$I$5:$I$15,0),3),"Z")</f>
        <v>A</v>
      </c>
      <c r="P31" s="51" t="str">
        <f aca="false">IFERROR(INDEX(Static!$I$5:$L$15,MATCH(AE31,Static!$I$5:$I$15,0),2),"Y")</f>
        <v>Y</v>
      </c>
      <c r="Q31" s="51" t="str">
        <f aca="false">IFERROR(INDEX(Static!$I$5:$L$15,MATCH(AE31,Static!$I$5:$I$15,0),4),"Y")</f>
        <v>Y</v>
      </c>
      <c r="R31" s="51" t="str">
        <f aca="false">IF(AND(AI31&lt;&gt;"",S31="N",$A$1&gt;=AI31-(7*$D$2)),"Y","N")</f>
        <v>N</v>
      </c>
      <c r="S31" s="51" t="str">
        <f aca="false">IF(AND(AI31&lt;&gt;"",$A$1&gt;=AI31),"Y","N")</f>
        <v>N</v>
      </c>
      <c r="T31" s="51" t="str">
        <f aca="false">IF(D31&gt;(($A$1-WEEKDAY($A$1,2))-7*$D$2),"Y","N")</f>
        <v>N</v>
      </c>
      <c r="U31" s="49" t="str">
        <f aca="false">IF(AR31&gt;0,"Y","N")</f>
        <v>N</v>
      </c>
      <c r="V31" s="51" t="str">
        <f aca="false">IF(AND(T31="Y",U31="N"),"Y","N")</f>
        <v>N</v>
      </c>
      <c r="W31" s="52" t="str">
        <f aca="false">IF(OR(R31="Y",AND(U31="Y",S31="Y"), $A$1=AI31),"Y","N")</f>
        <v>N</v>
      </c>
      <c r="X31" s="49" t="str">
        <f aca="false">IF(OR(AC31="Y",AC31="N"),AC31,IF(AND(Q31="Y", OR(T31="Y",V31="Y", W31="Y")),"Y","N"))</f>
        <v>N</v>
      </c>
      <c r="Y31" s="51" t="str">
        <f aca="false">IF(OR(P31="Y", U31="Y",W31="Y"),"Y","N")</f>
        <v>Y</v>
      </c>
      <c r="Z31" s="53" t="str">
        <f aca="false">" -  "&amp;O31&amp;AM31&amp;AN31&amp;AF31</f>
        <v>-  AmgtManage 1. Revenue</v>
      </c>
      <c r="AA31" s="51" t="str">
        <f aca="false">IFERROR(VLOOKUP(WEEKDAY(AB31),Static!$AL$3:$AM$11,2,0),"")</f>
        <v>Sun</v>
      </c>
      <c r="AB31" s="49" t="n">
        <f aca="false">IF(AH31&lt;&gt;"",AH31,AV31)</f>
        <v>44927</v>
      </c>
      <c r="AC31" s="54"/>
      <c r="AD31" s="54"/>
      <c r="AE31" s="55" t="s">
        <v>443</v>
      </c>
      <c r="AF31" s="56" t="s">
        <v>524</v>
      </c>
      <c r="AG31" s="56" t="s">
        <v>525</v>
      </c>
      <c r="AH31" s="54" t="n">
        <v>44927</v>
      </c>
      <c r="AI31" s="54"/>
      <c r="AJ31" s="57"/>
      <c r="AK31" s="54" t="s">
        <v>446</v>
      </c>
      <c r="AL31" s="54" t="s">
        <v>343</v>
      </c>
      <c r="AM31" s="54" t="s">
        <v>447</v>
      </c>
      <c r="AN31" s="54"/>
      <c r="AO31" s="58" t="s">
        <v>526</v>
      </c>
      <c r="AP31" s="56" t="s">
        <v>449</v>
      </c>
      <c r="AQ31" s="58"/>
      <c r="AR31" s="51" t="n">
        <f aca="false">SUM(F31:I31)</f>
        <v>0</v>
      </c>
      <c r="AS31" s="59" t="n">
        <f aca="false">IF(AF31="",1,IF(K31&lt;&gt;0,(G31*0.5+J31)/K31,1))</f>
        <v>1</v>
      </c>
      <c r="AT31" s="60" t="str">
        <f aca="false">IF(AP31="","",IF(ISERROR(FIND(CHAR(10),AP31,1)),AP31,LEFT(AP31,FIND(CHAR(10),AP31,1))))</f>
        <v>03-01-22: init</v>
      </c>
      <c r="AU31" s="61" t="str">
        <f aca="false">IF(AP31="","",IFERROR(RIGHT(AP31,LEN(AP31)-FIND("@@@",SUBSTITUTE(AP31,CHAR(10),"@@@",LEN(AP31)-LEN(SUBSTITUTE(AP31,CHAR(10),""))),1)),AP31))</f>
        <v>03-01-22: init</v>
      </c>
      <c r="AV31" s="62" t="n">
        <f aca="false">IFERROR(DATE(("20"&amp;MID(AT31,7,2))*1,MID(AT31,4,2)*1,MID(AT31,1,2)*1),"")</f>
        <v>44564</v>
      </c>
      <c r="AW31" s="62" t="n">
        <f aca="false">IFERROR(DATE(("20"&amp;MID(AU31,7,2))*1,MID(AU31,4,2)*1,MID(AU31,1,2)*1),"")</f>
        <v>44564</v>
      </c>
      <c r="AX31" s="56" t="s">
        <v>450</v>
      </c>
    </row>
    <row r="32" customFormat="false" ht="12.75" hidden="false" customHeight="true" outlineLevel="0" collapsed="false">
      <c r="A32" s="63"/>
      <c r="B32" s="49" t="str">
        <f aca="false">IF(AK32="","tbc",AK32)</f>
        <v>STE</v>
      </c>
      <c r="C32" s="49" t="str">
        <f aca="false">IF(AL32="","VNT",AL32)</f>
        <v>VNT</v>
      </c>
      <c r="D32" s="49" t="n">
        <f aca="false">MAX(AB32,IF(AW32="none",AB32,AW32))</f>
        <v>44927</v>
      </c>
      <c r="E32" s="50" t="n">
        <f aca="false">IFERROR(DAYS360(AB32,D32),0)</f>
        <v>0</v>
      </c>
      <c r="F32" s="50" t="n">
        <f aca="false">((LEN($AQ32)-LEN(SUBSTITUTE($AQ32,CHAR(10)&amp;". ","")))/3)+IF(LEFT(TRIM($AQ32),2)=". ",1,0)</f>
        <v>0</v>
      </c>
      <c r="G32" s="50" t="n">
        <f aca="false">((LEN($AQ32)-LEN(SUBSTITUTE($AQ32,CHAR(10)&amp;"/ ","")))/3)+IF(LEFT(TRIM($AQ32),2)="/ ",1,0)</f>
        <v>0</v>
      </c>
      <c r="H32" s="50" t="n">
        <f aca="false">((LEN($AQ32)-LEN(SUBSTITUTE($AQ32,CHAR(10)&amp;"~ ","")))/3)+IF(LEFT(TRIM($AQ32),2)="~ ",1,0)</f>
        <v>0</v>
      </c>
      <c r="I32" s="50" t="n">
        <f aca="false">((LEN($AQ32)-LEN(SUBSTITUTE($AQ32,CHAR(10)&amp;"! ","")))/3)+IF(LEFT(TRIM($AQ32),2)="! ",1,0)</f>
        <v>0</v>
      </c>
      <c r="J32" s="50" t="n">
        <f aca="false">((LEN($AQ32)-LEN(SUBSTITUTE($AQ32,CHAR(10)&amp;"x ","")))/3)+IF(LEFT(TRIM($AQ32),2)="x ",1,0)</f>
        <v>0</v>
      </c>
      <c r="K32" s="50" t="n">
        <f aca="false">SUM(F32:J32)</f>
        <v>0</v>
      </c>
      <c r="L32" s="51" t="n">
        <f aca="false">YEAR(D32)</f>
        <v>2023</v>
      </c>
      <c r="M32" s="51" t="str">
        <f aca="false">VLOOKUP(MONTH(D32),Static!$AJ$3:$AK$16,2,0)</f>
        <v>Jan</v>
      </c>
      <c r="N32" s="51" t="n">
        <f aca="false">WEEKNUM(D32,1)</f>
        <v>1</v>
      </c>
      <c r="O32" s="51" t="str">
        <f aca="false">IFERROR(INDEX(Static!$I$5:$L$15,MATCH(AE32,Static!$I$5:$I$15,0),3),"Z")</f>
        <v>A</v>
      </c>
      <c r="P32" s="51" t="str">
        <f aca="false">IFERROR(INDEX(Static!$I$5:$L$15,MATCH(AE32,Static!$I$5:$I$15,0),2),"Y")</f>
        <v>Y</v>
      </c>
      <c r="Q32" s="51" t="str">
        <f aca="false">IFERROR(INDEX(Static!$I$5:$L$15,MATCH(AE32,Static!$I$5:$I$15,0),4),"Y")</f>
        <v>Y</v>
      </c>
      <c r="R32" s="51" t="str">
        <f aca="false">IF(AND(AI32&lt;&gt;"",S32="N",$A$1&gt;=AI32-(7*$D$2)),"Y","N")</f>
        <v>N</v>
      </c>
      <c r="S32" s="51" t="str">
        <f aca="false">IF(AND(AI32&lt;&gt;"",$A$1&gt;=AI32),"Y","N")</f>
        <v>N</v>
      </c>
      <c r="T32" s="51" t="str">
        <f aca="false">IF(D32&gt;(($A$1-WEEKDAY($A$1,2))-7*$D$2),"Y","N")</f>
        <v>N</v>
      </c>
      <c r="U32" s="49" t="str">
        <f aca="false">IF(AR32&gt;0,"Y","N")</f>
        <v>N</v>
      </c>
      <c r="V32" s="51" t="str">
        <f aca="false">IF(AND(T32="Y",U32="N"),"Y","N")</f>
        <v>N</v>
      </c>
      <c r="W32" s="52" t="str">
        <f aca="false">IF(OR(R32="Y",AND(U32="Y",S32="Y"), $A$1=AI32),"Y","N")</f>
        <v>N</v>
      </c>
      <c r="X32" s="49" t="str">
        <f aca="false">IF(OR(AC32="Y",AC32="N"),AC32,IF(AND(Q32="Y", OR(T32="Y",V32="Y", W32="Y")),"Y","N"))</f>
        <v>N</v>
      </c>
      <c r="Y32" s="51" t="str">
        <f aca="false">IF(OR(P32="Y", U32="Y",W32="Y"),"Y","N")</f>
        <v>Y</v>
      </c>
      <c r="Z32" s="53" t="str">
        <f aca="false">" -  "&amp;O32&amp;AM32&amp;AN32&amp;AF32</f>
        <v>-  AmgtManage 2. Cost</v>
      </c>
      <c r="AA32" s="51" t="str">
        <f aca="false">IFERROR(VLOOKUP(WEEKDAY(AB32),Static!$AL$3:$AM$11,2,0),"")</f>
        <v>Sun</v>
      </c>
      <c r="AB32" s="49" t="n">
        <f aca="false">IF(AH32&lt;&gt;"",AH32,AV32)</f>
        <v>44927</v>
      </c>
      <c r="AC32" s="54"/>
      <c r="AD32" s="54"/>
      <c r="AE32" s="55" t="s">
        <v>443</v>
      </c>
      <c r="AF32" s="56" t="s">
        <v>527</v>
      </c>
      <c r="AG32" s="56" t="s">
        <v>519</v>
      </c>
      <c r="AH32" s="54" t="n">
        <v>44927</v>
      </c>
      <c r="AI32" s="54"/>
      <c r="AJ32" s="57"/>
      <c r="AK32" s="54" t="s">
        <v>446</v>
      </c>
      <c r="AL32" s="54" t="s">
        <v>343</v>
      </c>
      <c r="AM32" s="54" t="s">
        <v>447</v>
      </c>
      <c r="AN32" s="54"/>
      <c r="AO32" s="58" t="s">
        <v>528</v>
      </c>
      <c r="AP32" s="56" t="s">
        <v>449</v>
      </c>
      <c r="AQ32" s="58"/>
      <c r="AR32" s="51" t="n">
        <f aca="false">SUM(F32:I32)</f>
        <v>0</v>
      </c>
      <c r="AS32" s="59" t="n">
        <f aca="false">IF(AF32="",1,IF(K32&lt;&gt;0,(G32*0.5+J32)/K32,1))</f>
        <v>1</v>
      </c>
      <c r="AT32" s="60" t="str">
        <f aca="false">IF(AP32="","",IF(ISERROR(FIND(CHAR(10),AP32,1)),AP32,LEFT(AP32,FIND(CHAR(10),AP32,1))))</f>
        <v>03-01-22: init</v>
      </c>
      <c r="AU32" s="61" t="str">
        <f aca="false">IF(AP32="","",IFERROR(RIGHT(AP32,LEN(AP32)-FIND("@@@",SUBSTITUTE(AP32,CHAR(10),"@@@",LEN(AP32)-LEN(SUBSTITUTE(AP32,CHAR(10),""))),1)),AP32))</f>
        <v>03-01-22: init</v>
      </c>
      <c r="AV32" s="62" t="n">
        <f aca="false">IFERROR(DATE(("20"&amp;MID(AT32,7,2))*1,MID(AT32,4,2)*1,MID(AT32,1,2)*1),"")</f>
        <v>44564</v>
      </c>
      <c r="AW32" s="62" t="n">
        <f aca="false">IFERROR(DATE(("20"&amp;MID(AU32,7,2))*1,MID(AU32,4,2)*1,MID(AU32,1,2)*1),"")</f>
        <v>44564</v>
      </c>
      <c r="AX32" s="56" t="s">
        <v>450</v>
      </c>
    </row>
    <row r="33" customFormat="false" ht="12.75" hidden="false" customHeight="true" outlineLevel="0" collapsed="false">
      <c r="A33" s="63"/>
      <c r="B33" s="49" t="str">
        <f aca="false">IF(AK33="","tbc",AK33)</f>
        <v>STE</v>
      </c>
      <c r="C33" s="49" t="str">
        <f aca="false">IF(AL33="","VNT",AL33)</f>
        <v>VNT</v>
      </c>
      <c r="D33" s="49" t="n">
        <f aca="false">MAX(AB33,IF(AW33="none",AB33,AW33))</f>
        <v>44927</v>
      </c>
      <c r="E33" s="50" t="n">
        <f aca="false">IFERROR(DAYS360(AB33,D33),0)</f>
        <v>0</v>
      </c>
      <c r="F33" s="50" t="n">
        <f aca="false">((LEN($AQ33)-LEN(SUBSTITUTE($AQ33,CHAR(10)&amp;". ","")))/3)+IF(LEFT(TRIM($AQ33),2)=". ",1,0)</f>
        <v>0</v>
      </c>
      <c r="G33" s="50" t="n">
        <f aca="false">((LEN($AQ33)-LEN(SUBSTITUTE($AQ33,CHAR(10)&amp;"/ ","")))/3)+IF(LEFT(TRIM($AQ33),2)="/ ",1,0)</f>
        <v>0</v>
      </c>
      <c r="H33" s="50" t="n">
        <f aca="false">((LEN($AQ33)-LEN(SUBSTITUTE($AQ33,CHAR(10)&amp;"~ ","")))/3)+IF(LEFT(TRIM($AQ33),2)="~ ",1,0)</f>
        <v>0</v>
      </c>
      <c r="I33" s="50" t="n">
        <f aca="false">((LEN($AQ33)-LEN(SUBSTITUTE($AQ33,CHAR(10)&amp;"! ","")))/3)+IF(LEFT(TRIM($AQ33),2)="! ",1,0)</f>
        <v>0</v>
      </c>
      <c r="J33" s="50" t="n">
        <f aca="false">((LEN($AQ33)-LEN(SUBSTITUTE($AQ33,CHAR(10)&amp;"x ","")))/3)+IF(LEFT(TRIM($AQ33),2)="x ",1,0)</f>
        <v>0</v>
      </c>
      <c r="K33" s="50" t="n">
        <f aca="false">SUM(F33:J33)</f>
        <v>0</v>
      </c>
      <c r="L33" s="51" t="n">
        <f aca="false">YEAR(D33)</f>
        <v>2023</v>
      </c>
      <c r="M33" s="51" t="str">
        <f aca="false">VLOOKUP(MONTH(D33),Static!$AJ$3:$AK$16,2,0)</f>
        <v>Jan</v>
      </c>
      <c r="N33" s="51" t="n">
        <f aca="false">WEEKNUM(D33,1)</f>
        <v>1</v>
      </c>
      <c r="O33" s="51" t="str">
        <f aca="false">IFERROR(INDEX(Static!$I$5:$L$15,MATCH(AE33,Static!$I$5:$I$15,0),3),"Z")</f>
        <v>A</v>
      </c>
      <c r="P33" s="51" t="str">
        <f aca="false">IFERROR(INDEX(Static!$I$5:$L$15,MATCH(AE33,Static!$I$5:$I$15,0),2),"Y")</f>
        <v>Y</v>
      </c>
      <c r="Q33" s="51" t="str">
        <f aca="false">IFERROR(INDEX(Static!$I$5:$L$15,MATCH(AE33,Static!$I$5:$I$15,0),4),"Y")</f>
        <v>Y</v>
      </c>
      <c r="R33" s="51" t="str">
        <f aca="false">IF(AND(AI33&lt;&gt;"",S33="N",$A$1&gt;=AI33-(7*$D$2)),"Y","N")</f>
        <v>N</v>
      </c>
      <c r="S33" s="51" t="str">
        <f aca="false">IF(AND(AI33&lt;&gt;"",$A$1&gt;=AI33),"Y","N")</f>
        <v>N</v>
      </c>
      <c r="T33" s="51" t="str">
        <f aca="false">IF(D33&gt;(($A$1-WEEKDAY($A$1,2))-7*$D$2),"Y","N")</f>
        <v>N</v>
      </c>
      <c r="U33" s="49" t="str">
        <f aca="false">IF(AR33&gt;0,"Y","N")</f>
        <v>N</v>
      </c>
      <c r="V33" s="51" t="str">
        <f aca="false">IF(AND(T33="Y",U33="N"),"Y","N")</f>
        <v>N</v>
      </c>
      <c r="W33" s="52" t="str">
        <f aca="false">IF(OR(R33="Y",AND(U33="Y",S33="Y"), $A$1=AI33),"Y","N")</f>
        <v>N</v>
      </c>
      <c r="X33" s="49" t="str">
        <f aca="false">IF(OR(AC33="Y",AC33="N"),AC33,IF(AND(Q33="Y", OR(T33="Y",V33="Y", W33="Y")),"Y","N"))</f>
        <v>N</v>
      </c>
      <c r="Y33" s="51" t="str">
        <f aca="false">IF(OR(P33="Y", U33="Y",W33="Y"),"Y","N")</f>
        <v>Y</v>
      </c>
      <c r="Z33" s="53" t="str">
        <f aca="false">" -  "&amp;O33&amp;AM33&amp;AN33&amp;AF33</f>
        <v>-  AmgtManage 3. Risk</v>
      </c>
      <c r="AA33" s="51" t="str">
        <f aca="false">IFERROR(VLOOKUP(WEEKDAY(AB33),Static!$AL$3:$AM$11,2,0),"")</f>
        <v>Sun</v>
      </c>
      <c r="AB33" s="49" t="n">
        <f aca="false">IF(AH33&lt;&gt;"",AH33,AV33)</f>
        <v>44927</v>
      </c>
      <c r="AC33" s="54"/>
      <c r="AD33" s="54"/>
      <c r="AE33" s="55" t="s">
        <v>443</v>
      </c>
      <c r="AF33" s="56" t="s">
        <v>529</v>
      </c>
      <c r="AG33" s="56" t="s">
        <v>530</v>
      </c>
      <c r="AH33" s="54" t="n">
        <v>44927</v>
      </c>
      <c r="AI33" s="54"/>
      <c r="AJ33" s="57"/>
      <c r="AK33" s="54" t="s">
        <v>446</v>
      </c>
      <c r="AL33" s="54" t="s">
        <v>343</v>
      </c>
      <c r="AM33" s="54" t="s">
        <v>447</v>
      </c>
      <c r="AN33" s="54"/>
      <c r="AO33" s="58" t="s">
        <v>531</v>
      </c>
      <c r="AP33" s="56" t="s">
        <v>449</v>
      </c>
      <c r="AQ33" s="58"/>
      <c r="AR33" s="51" t="n">
        <f aca="false">SUM(F33:I33)</f>
        <v>0</v>
      </c>
      <c r="AS33" s="59" t="n">
        <f aca="false">IF(AF33="",1,IF(K33&lt;&gt;0,(G33*0.5+J33)/K33,1))</f>
        <v>1</v>
      </c>
      <c r="AT33" s="60" t="str">
        <f aca="false">IF(AP33="","",IF(ISERROR(FIND(CHAR(10),AP33,1)),AP33,LEFT(AP33,FIND(CHAR(10),AP33,1))))</f>
        <v>03-01-22: init</v>
      </c>
      <c r="AU33" s="61" t="str">
        <f aca="false">IF(AP33="","",IFERROR(RIGHT(AP33,LEN(AP33)-FIND("@@@",SUBSTITUTE(AP33,CHAR(10),"@@@",LEN(AP33)-LEN(SUBSTITUTE(AP33,CHAR(10),""))),1)),AP33))</f>
        <v>03-01-22: init</v>
      </c>
      <c r="AV33" s="62" t="n">
        <f aca="false">IFERROR(DATE(("20"&amp;MID(AT33,7,2))*1,MID(AT33,4,2)*1,MID(AT33,1,2)*1),"")</f>
        <v>44564</v>
      </c>
      <c r="AW33" s="62" t="n">
        <f aca="false">IFERROR(DATE(("20"&amp;MID(AU33,7,2))*1,MID(AU33,4,2)*1,MID(AU33,1,2)*1),"")</f>
        <v>44564</v>
      </c>
      <c r="AX33" s="56" t="s">
        <v>450</v>
      </c>
    </row>
    <row r="34" customFormat="false" ht="12.75" hidden="false" customHeight="true" outlineLevel="0" collapsed="false">
      <c r="A34" s="63"/>
      <c r="B34" s="49" t="str">
        <f aca="false">IF(AK34="","tbc",AK34)</f>
        <v>STE</v>
      </c>
      <c r="C34" s="49" t="str">
        <f aca="false">IF(AL34="","VNT",AL34)</f>
        <v>VNT</v>
      </c>
      <c r="D34" s="49" t="n">
        <f aca="false">MAX(AB34,IF(AW34="none",AB34,AW34))</f>
        <v>44927</v>
      </c>
      <c r="E34" s="50" t="n">
        <f aca="false">IFERROR(DAYS360(AB34,D34),0)</f>
        <v>0</v>
      </c>
      <c r="F34" s="50" t="n">
        <f aca="false">((LEN($AQ34)-LEN(SUBSTITUTE($AQ34,CHAR(10)&amp;". ","")))/3)+IF(LEFT(TRIM($AQ34),2)=". ",1,0)</f>
        <v>0</v>
      </c>
      <c r="G34" s="50" t="n">
        <f aca="false">((LEN($AQ34)-LEN(SUBSTITUTE($AQ34,CHAR(10)&amp;"/ ","")))/3)+IF(LEFT(TRIM($AQ34),2)="/ ",1,0)</f>
        <v>0</v>
      </c>
      <c r="H34" s="50" t="n">
        <f aca="false">((LEN($AQ34)-LEN(SUBSTITUTE($AQ34,CHAR(10)&amp;"~ ","")))/3)+IF(LEFT(TRIM($AQ34),2)="~ ",1,0)</f>
        <v>0</v>
      </c>
      <c r="I34" s="50" t="n">
        <f aca="false">((LEN($AQ34)-LEN(SUBSTITUTE($AQ34,CHAR(10)&amp;"! ","")))/3)+IF(LEFT(TRIM($AQ34),2)="! ",1,0)</f>
        <v>0</v>
      </c>
      <c r="J34" s="50" t="n">
        <f aca="false">((LEN($AQ34)-LEN(SUBSTITUTE($AQ34,CHAR(10)&amp;"x ","")))/3)+IF(LEFT(TRIM($AQ34),2)="x ",1,0)</f>
        <v>0</v>
      </c>
      <c r="K34" s="50" t="n">
        <f aca="false">SUM(F34:J34)</f>
        <v>0</v>
      </c>
      <c r="L34" s="51" t="n">
        <f aca="false">YEAR(D34)</f>
        <v>2023</v>
      </c>
      <c r="M34" s="51" t="str">
        <f aca="false">VLOOKUP(MONTH(D34),Static!$AJ$3:$AK$16,2,0)</f>
        <v>Jan</v>
      </c>
      <c r="N34" s="51" t="n">
        <f aca="false">WEEKNUM(D34,1)</f>
        <v>1</v>
      </c>
      <c r="O34" s="51" t="str">
        <f aca="false">IFERROR(INDEX(Static!$I$5:$L$15,MATCH(AE34,Static!$I$5:$I$15,0),3),"Z")</f>
        <v>A</v>
      </c>
      <c r="P34" s="51" t="str">
        <f aca="false">IFERROR(INDEX(Static!$I$5:$L$15,MATCH(AE34,Static!$I$5:$I$15,0),2),"Y")</f>
        <v>Y</v>
      </c>
      <c r="Q34" s="51" t="str">
        <f aca="false">IFERROR(INDEX(Static!$I$5:$L$15,MATCH(AE34,Static!$I$5:$I$15,0),4),"Y")</f>
        <v>Y</v>
      </c>
      <c r="R34" s="51" t="str">
        <f aca="false">IF(AND(AI34&lt;&gt;"",S34="N",$A$1&gt;=AI34-(7*$D$2)),"Y","N")</f>
        <v>N</v>
      </c>
      <c r="S34" s="51" t="str">
        <f aca="false">IF(AND(AI34&lt;&gt;"",$A$1&gt;=AI34),"Y","N")</f>
        <v>N</v>
      </c>
      <c r="T34" s="51" t="str">
        <f aca="false">IF(D34&gt;(($A$1-WEEKDAY($A$1,2))-7*$D$2),"Y","N")</f>
        <v>N</v>
      </c>
      <c r="U34" s="49" t="str">
        <f aca="false">IF(AR34&gt;0,"Y","N")</f>
        <v>N</v>
      </c>
      <c r="V34" s="51" t="str">
        <f aca="false">IF(AND(T34="Y",U34="N"),"Y","N")</f>
        <v>N</v>
      </c>
      <c r="W34" s="52" t="str">
        <f aca="false">IF(OR(R34="Y",AND(U34="Y",S34="Y"), $A$1=AI34),"Y","N")</f>
        <v>N</v>
      </c>
      <c r="X34" s="49" t="str">
        <f aca="false">IF(OR(AC34="Y",AC34="N"),AC34,IF(AND(Q34="Y", OR(T34="Y",V34="Y", W34="Y")),"Y","N"))</f>
        <v>N</v>
      </c>
      <c r="Y34" s="51" t="str">
        <f aca="false">IF(OR(P34="Y", U34="Y",W34="Y"),"Y","N")</f>
        <v>Y</v>
      </c>
      <c r="Z34" s="53" t="str">
        <f aca="false">" -  "&amp;O34&amp;AM34&amp;AN34&amp;AF34</f>
        <v>-  AmgtManage 4. Run</v>
      </c>
      <c r="AA34" s="51" t="str">
        <f aca="false">IFERROR(VLOOKUP(WEEKDAY(AB34),Static!$AL$3:$AM$11,2,0),"")</f>
        <v>Sun</v>
      </c>
      <c r="AB34" s="49" t="n">
        <f aca="false">IF(AH34&lt;&gt;"",AH34,AV34)</f>
        <v>44927</v>
      </c>
      <c r="AC34" s="54"/>
      <c r="AD34" s="54"/>
      <c r="AE34" s="55" t="s">
        <v>443</v>
      </c>
      <c r="AF34" s="56" t="s">
        <v>532</v>
      </c>
      <c r="AG34" s="56" t="s">
        <v>533</v>
      </c>
      <c r="AH34" s="54" t="n">
        <v>44927</v>
      </c>
      <c r="AI34" s="54"/>
      <c r="AJ34" s="57"/>
      <c r="AK34" s="54" t="s">
        <v>446</v>
      </c>
      <c r="AL34" s="54" t="s">
        <v>343</v>
      </c>
      <c r="AM34" s="54" t="s">
        <v>447</v>
      </c>
      <c r="AN34" s="54"/>
      <c r="AO34" s="58" t="s">
        <v>534</v>
      </c>
      <c r="AP34" s="56" t="s">
        <v>449</v>
      </c>
      <c r="AQ34" s="58"/>
      <c r="AR34" s="51" t="n">
        <f aca="false">SUM(F34:I34)</f>
        <v>0</v>
      </c>
      <c r="AS34" s="59" t="n">
        <f aca="false">IF(AF34="",1,IF(K34&lt;&gt;0,(G34*0.5+J34)/K34,1))</f>
        <v>1</v>
      </c>
      <c r="AT34" s="60" t="str">
        <f aca="false">IF(AP34="","",IF(ISERROR(FIND(CHAR(10),AP34,1)),AP34,LEFT(AP34,FIND(CHAR(10),AP34,1))))</f>
        <v>03-01-22: init</v>
      </c>
      <c r="AU34" s="61" t="str">
        <f aca="false">IF(AP34="","",IFERROR(RIGHT(AP34,LEN(AP34)-FIND("@@@",SUBSTITUTE(AP34,CHAR(10),"@@@",LEN(AP34)-LEN(SUBSTITUTE(AP34,CHAR(10),""))),1)),AP34))</f>
        <v>03-01-22: init</v>
      </c>
      <c r="AV34" s="62" t="n">
        <f aca="false">IFERROR(DATE(("20"&amp;MID(AT34,7,2))*1,MID(AT34,4,2)*1,MID(AT34,1,2)*1),"")</f>
        <v>44564</v>
      </c>
      <c r="AW34" s="62" t="n">
        <f aca="false">IFERROR(DATE(("20"&amp;MID(AU34,7,2))*1,MID(AU34,4,2)*1,MID(AU34,1,2)*1),"")</f>
        <v>44564</v>
      </c>
      <c r="AX34" s="56" t="s">
        <v>450</v>
      </c>
    </row>
    <row r="35" customFormat="false" ht="12.75" hidden="false" customHeight="true" outlineLevel="0" collapsed="false">
      <c r="A35" s="63"/>
      <c r="B35" s="49" t="str">
        <f aca="false">IF(AK35="","tbc",AK35)</f>
        <v>STE</v>
      </c>
      <c r="C35" s="49" t="str">
        <f aca="false">IF(AL35="","VNT",AL35)</f>
        <v>VNT</v>
      </c>
      <c r="D35" s="49" t="n">
        <f aca="false">MAX(AB35,IF(AW35="none",AB35,AW35))</f>
        <v>44927</v>
      </c>
      <c r="E35" s="50" t="n">
        <f aca="false">IFERROR(DAYS360(AB35,D35),0)</f>
        <v>0</v>
      </c>
      <c r="F35" s="50" t="n">
        <f aca="false">((LEN($AQ35)-LEN(SUBSTITUTE($AQ35,CHAR(10)&amp;". ","")))/3)+IF(LEFT(TRIM($AQ35),2)=". ",1,0)</f>
        <v>0</v>
      </c>
      <c r="G35" s="50" t="n">
        <f aca="false">((LEN($AQ35)-LEN(SUBSTITUTE($AQ35,CHAR(10)&amp;"/ ","")))/3)+IF(LEFT(TRIM($AQ35),2)="/ ",1,0)</f>
        <v>0</v>
      </c>
      <c r="H35" s="50" t="n">
        <f aca="false">((LEN($AQ35)-LEN(SUBSTITUTE($AQ35,CHAR(10)&amp;"~ ","")))/3)+IF(LEFT(TRIM($AQ35),2)="~ ",1,0)</f>
        <v>0</v>
      </c>
      <c r="I35" s="50" t="n">
        <f aca="false">((LEN($AQ35)-LEN(SUBSTITUTE($AQ35,CHAR(10)&amp;"! ","")))/3)+IF(LEFT(TRIM($AQ35),2)="! ",1,0)</f>
        <v>0</v>
      </c>
      <c r="J35" s="50" t="n">
        <f aca="false">((LEN($AQ35)-LEN(SUBSTITUTE($AQ35,CHAR(10)&amp;"x ","")))/3)+IF(LEFT(TRIM($AQ35),2)="x ",1,0)</f>
        <v>0</v>
      </c>
      <c r="K35" s="50" t="n">
        <f aca="false">SUM(F35:J35)</f>
        <v>0</v>
      </c>
      <c r="L35" s="51" t="n">
        <f aca="false">YEAR(D35)</f>
        <v>2023</v>
      </c>
      <c r="M35" s="51" t="str">
        <f aca="false">VLOOKUP(MONTH(D35),Static!$AJ$3:$AK$16,2,0)</f>
        <v>Jan</v>
      </c>
      <c r="N35" s="51" t="n">
        <f aca="false">WEEKNUM(D35,1)</f>
        <v>1</v>
      </c>
      <c r="O35" s="51" t="str">
        <f aca="false">IFERROR(INDEX(Static!$I$5:$L$15,MATCH(AE35,Static!$I$5:$I$15,0),3),"Z")</f>
        <v>A</v>
      </c>
      <c r="P35" s="51" t="str">
        <f aca="false">IFERROR(INDEX(Static!$I$5:$L$15,MATCH(AE35,Static!$I$5:$I$15,0),2),"Y")</f>
        <v>Y</v>
      </c>
      <c r="Q35" s="51" t="str">
        <f aca="false">IFERROR(INDEX(Static!$I$5:$L$15,MATCH(AE35,Static!$I$5:$I$15,0),4),"Y")</f>
        <v>Y</v>
      </c>
      <c r="R35" s="51" t="str">
        <f aca="false">IF(AND(AI35&lt;&gt;"",S35="N",$A$1&gt;=AI35-(7*$D$2)),"Y","N")</f>
        <v>N</v>
      </c>
      <c r="S35" s="51" t="str">
        <f aca="false">IF(AND(AI35&lt;&gt;"",$A$1&gt;=AI35),"Y","N")</f>
        <v>N</v>
      </c>
      <c r="T35" s="51" t="str">
        <f aca="false">IF(D35&gt;(($A$1-WEEKDAY($A$1,2))-7*$D$2),"Y","N")</f>
        <v>N</v>
      </c>
      <c r="U35" s="49" t="str">
        <f aca="false">IF(AR35&gt;0,"Y","N")</f>
        <v>N</v>
      </c>
      <c r="V35" s="51" t="str">
        <f aca="false">IF(AND(T35="Y",U35="N"),"Y","N")</f>
        <v>N</v>
      </c>
      <c r="W35" s="52" t="str">
        <f aca="false">IF(OR(R35="Y",AND(U35="Y",S35="Y"), $A$1=AI35),"Y","N")</f>
        <v>N</v>
      </c>
      <c r="X35" s="49" t="str">
        <f aca="false">IF(OR(AC35="Y",AC35="N"),AC35,IF(AND(Q35="Y", OR(T35="Y",V35="Y", W35="Y")),"Y","N"))</f>
        <v>N</v>
      </c>
      <c r="Y35" s="51" t="str">
        <f aca="false">IF(OR(P35="Y", U35="Y",W35="Y"),"Y","N")</f>
        <v>Y</v>
      </c>
      <c r="Z35" s="53" t="str">
        <f aca="false">" -  "&amp;O35&amp;AM35&amp;AN35&amp;AF35</f>
        <v>-  AmgtManage 5. Change</v>
      </c>
      <c r="AA35" s="51" t="str">
        <f aca="false">IFERROR(VLOOKUP(WEEKDAY(AB35),Static!$AL$3:$AM$11,2,0),"")</f>
        <v>Sun</v>
      </c>
      <c r="AB35" s="49" t="n">
        <f aca="false">IF(AH35&lt;&gt;"",AH35,AV35)</f>
        <v>44927</v>
      </c>
      <c r="AC35" s="54"/>
      <c r="AD35" s="54"/>
      <c r="AE35" s="55" t="s">
        <v>443</v>
      </c>
      <c r="AF35" s="56" t="s">
        <v>535</v>
      </c>
      <c r="AG35" s="56" t="s">
        <v>519</v>
      </c>
      <c r="AH35" s="54" t="n">
        <v>44927</v>
      </c>
      <c r="AI35" s="54"/>
      <c r="AJ35" s="57"/>
      <c r="AK35" s="54" t="s">
        <v>446</v>
      </c>
      <c r="AL35" s="54" t="s">
        <v>343</v>
      </c>
      <c r="AM35" s="54" t="s">
        <v>447</v>
      </c>
      <c r="AN35" s="54"/>
      <c r="AO35" s="58" t="s">
        <v>536</v>
      </c>
      <c r="AP35" s="56" t="s">
        <v>449</v>
      </c>
      <c r="AQ35" s="58"/>
      <c r="AR35" s="51" t="n">
        <f aca="false">SUM(F35:I35)</f>
        <v>0</v>
      </c>
      <c r="AS35" s="59" t="n">
        <f aca="false">IF(AF35="",1,IF(K35&lt;&gt;0,(G35*0.5+J35)/K35,1))</f>
        <v>1</v>
      </c>
      <c r="AT35" s="60" t="str">
        <f aca="false">IF(AP35="","",IF(ISERROR(FIND(CHAR(10),AP35,1)),AP35,LEFT(AP35,FIND(CHAR(10),AP35,1))))</f>
        <v>03-01-22: init</v>
      </c>
      <c r="AU35" s="61" t="str">
        <f aca="false">IF(AP35="","",IFERROR(RIGHT(AP35,LEN(AP35)-FIND("@@@",SUBSTITUTE(AP35,CHAR(10),"@@@",LEN(AP35)-LEN(SUBSTITUTE(AP35,CHAR(10),""))),1)),AP35))</f>
        <v>03-01-22: init</v>
      </c>
      <c r="AV35" s="62" t="n">
        <f aca="false">IFERROR(DATE(("20"&amp;MID(AT35,7,2))*1,MID(AT35,4,2)*1,MID(AT35,1,2)*1),"")</f>
        <v>44564</v>
      </c>
      <c r="AW35" s="62" t="n">
        <f aca="false">IFERROR(DATE(("20"&amp;MID(AU35,7,2))*1,MID(AU35,4,2)*1,MID(AU35,1,2)*1),"")</f>
        <v>44564</v>
      </c>
      <c r="AX35" s="56" t="s">
        <v>450</v>
      </c>
    </row>
    <row r="36" customFormat="false" ht="12.75" hidden="false" customHeight="true" outlineLevel="0" collapsed="false">
      <c r="A36" s="63"/>
      <c r="B36" s="49" t="str">
        <f aca="false">IF(AK36="","tbc",AK36)</f>
        <v>STE</v>
      </c>
      <c r="C36" s="49" t="str">
        <f aca="false">IF(AL36="","VNT",AL36)</f>
        <v>VNT</v>
      </c>
      <c r="D36" s="49" t="n">
        <f aca="false">MAX(AB36,IF(AW36="none",AB36,AW36))</f>
        <v>44927</v>
      </c>
      <c r="E36" s="50" t="n">
        <f aca="false">IFERROR(DAYS360(AB36,D36),0)</f>
        <v>0</v>
      </c>
      <c r="F36" s="50" t="n">
        <f aca="false">((LEN($AQ36)-LEN(SUBSTITUTE($AQ36,CHAR(10)&amp;". ","")))/3)+IF(LEFT(TRIM($AQ36),2)=". ",1,0)</f>
        <v>0</v>
      </c>
      <c r="G36" s="50" t="n">
        <f aca="false">((LEN($AQ36)-LEN(SUBSTITUTE($AQ36,CHAR(10)&amp;"/ ","")))/3)+IF(LEFT(TRIM($AQ36),2)="/ ",1,0)</f>
        <v>0</v>
      </c>
      <c r="H36" s="50" t="n">
        <f aca="false">((LEN($AQ36)-LEN(SUBSTITUTE($AQ36,CHAR(10)&amp;"~ ","")))/3)+IF(LEFT(TRIM($AQ36),2)="~ ",1,0)</f>
        <v>0</v>
      </c>
      <c r="I36" s="50" t="n">
        <f aca="false">((LEN($AQ36)-LEN(SUBSTITUTE($AQ36,CHAR(10)&amp;"! ","")))/3)+IF(LEFT(TRIM($AQ36),2)="! ",1,0)</f>
        <v>0</v>
      </c>
      <c r="J36" s="50" t="n">
        <f aca="false">((LEN($AQ36)-LEN(SUBSTITUTE($AQ36,CHAR(10)&amp;"x ","")))/3)+IF(LEFT(TRIM($AQ36),2)="x ",1,0)</f>
        <v>0</v>
      </c>
      <c r="K36" s="50" t="n">
        <f aca="false">SUM(F36:J36)</f>
        <v>0</v>
      </c>
      <c r="L36" s="51" t="n">
        <f aca="false">YEAR(D36)</f>
        <v>2023</v>
      </c>
      <c r="M36" s="51" t="str">
        <f aca="false">VLOOKUP(MONTH(D36),Static!$AJ$3:$AK$16,2,0)</f>
        <v>Jan</v>
      </c>
      <c r="N36" s="51" t="n">
        <f aca="false">WEEKNUM(D36,1)</f>
        <v>1</v>
      </c>
      <c r="O36" s="51" t="str">
        <f aca="false">IFERROR(INDEX(Static!$I$5:$L$15,MATCH(AE36,Static!$I$5:$I$15,0),3),"Z")</f>
        <v>A</v>
      </c>
      <c r="P36" s="51" t="str">
        <f aca="false">IFERROR(INDEX(Static!$I$5:$L$15,MATCH(AE36,Static!$I$5:$I$15,0),2),"Y")</f>
        <v>Y</v>
      </c>
      <c r="Q36" s="51" t="str">
        <f aca="false">IFERROR(INDEX(Static!$I$5:$L$15,MATCH(AE36,Static!$I$5:$I$15,0),4),"Y")</f>
        <v>Y</v>
      </c>
      <c r="R36" s="51" t="str">
        <f aca="false">IF(AND(AI36&lt;&gt;"",S36="N",$A$1&gt;=AI36-(7*$D$2)),"Y","N")</f>
        <v>N</v>
      </c>
      <c r="S36" s="51" t="str">
        <f aca="false">IF(AND(AI36&lt;&gt;"",$A$1&gt;=AI36),"Y","N")</f>
        <v>N</v>
      </c>
      <c r="T36" s="51" t="str">
        <f aca="false">IF(D36&gt;(($A$1-WEEKDAY($A$1,2))-7*$D$2),"Y","N")</f>
        <v>N</v>
      </c>
      <c r="U36" s="49" t="str">
        <f aca="false">IF(AR36&gt;0,"Y","N")</f>
        <v>N</v>
      </c>
      <c r="V36" s="51" t="str">
        <f aca="false">IF(AND(T36="Y",U36="N"),"Y","N")</f>
        <v>N</v>
      </c>
      <c r="W36" s="52" t="str">
        <f aca="false">IF(OR(R36="Y",AND(U36="Y",S36="Y"), $A$1=AI36),"Y","N")</f>
        <v>N</v>
      </c>
      <c r="X36" s="49" t="str">
        <f aca="false">IF(OR(AC36="Y",AC36="N"),AC36,IF(AND(Q36="Y", OR(T36="Y",V36="Y", W36="Y")),"Y","N"))</f>
        <v>N</v>
      </c>
      <c r="Y36" s="51" t="str">
        <f aca="false">IF(OR(P36="Y", U36="Y",W36="Y"),"Y","N")</f>
        <v>Y</v>
      </c>
      <c r="Z36" s="53" t="str">
        <f aca="false">" -  "&amp;O36&amp;AM36&amp;AN36&amp;AF36</f>
        <v>-  AmgtManage 6. Intel</v>
      </c>
      <c r="AA36" s="51" t="str">
        <f aca="false">IFERROR(VLOOKUP(WEEKDAY(AB36),Static!$AL$3:$AM$11,2,0),"")</f>
        <v>Sun</v>
      </c>
      <c r="AB36" s="49" t="n">
        <f aca="false">IF(AH36&lt;&gt;"",AH36,AV36)</f>
        <v>44927</v>
      </c>
      <c r="AC36" s="54"/>
      <c r="AD36" s="54"/>
      <c r="AE36" s="55" t="s">
        <v>443</v>
      </c>
      <c r="AF36" s="56" t="s">
        <v>537</v>
      </c>
      <c r="AG36" s="56" t="s">
        <v>538</v>
      </c>
      <c r="AH36" s="54" t="n">
        <v>44927</v>
      </c>
      <c r="AI36" s="54"/>
      <c r="AJ36" s="57"/>
      <c r="AK36" s="54" t="s">
        <v>446</v>
      </c>
      <c r="AL36" s="54" t="s">
        <v>343</v>
      </c>
      <c r="AM36" s="54" t="s">
        <v>447</v>
      </c>
      <c r="AN36" s="54"/>
      <c r="AO36" s="58" t="s">
        <v>539</v>
      </c>
      <c r="AP36" s="56" t="s">
        <v>449</v>
      </c>
      <c r="AQ36" s="58"/>
      <c r="AR36" s="51" t="n">
        <f aca="false">SUM(F36:I36)</f>
        <v>0</v>
      </c>
      <c r="AS36" s="59" t="n">
        <f aca="false">IF(AF36="",1,IF(K36&lt;&gt;0,(G36*0.5+J36)/K36,1))</f>
        <v>1</v>
      </c>
      <c r="AT36" s="60" t="str">
        <f aca="false">IF(AP36="","",IF(ISERROR(FIND(CHAR(10),AP36,1)),AP36,LEFT(AP36,FIND(CHAR(10),AP36,1))))</f>
        <v>03-01-22: init</v>
      </c>
      <c r="AU36" s="61" t="str">
        <f aca="false">IF(AP36="","",IFERROR(RIGHT(AP36,LEN(AP36)-FIND("@@@",SUBSTITUTE(AP36,CHAR(10),"@@@",LEN(AP36)-LEN(SUBSTITUTE(AP36,CHAR(10),""))),1)),AP36))</f>
        <v>03-01-22: init</v>
      </c>
      <c r="AV36" s="62" t="n">
        <f aca="false">IFERROR(DATE(("20"&amp;MID(AT36,7,2))*1,MID(AT36,4,2)*1,MID(AT36,1,2)*1),"")</f>
        <v>44564</v>
      </c>
      <c r="AW36" s="62" t="n">
        <f aca="false">IFERROR(DATE(("20"&amp;MID(AU36,7,2))*1,MID(AU36,4,2)*1,MID(AU36,1,2)*1),"")</f>
        <v>44564</v>
      </c>
      <c r="AX36" s="56" t="s">
        <v>450</v>
      </c>
    </row>
    <row r="37" customFormat="false" ht="12.75" hidden="false" customHeight="true" outlineLevel="0" collapsed="false">
      <c r="A37" s="63"/>
      <c r="B37" s="49" t="str">
        <f aca="false">IF(AK37="","tbc",AK37)</f>
        <v>group</v>
      </c>
      <c r="C37" s="49" t="str">
        <f aca="false">IF(AL37="","VNT",AL37)</f>
        <v>act</v>
      </c>
      <c r="D37" s="49" t="n">
        <f aca="false">MAX(AB37,IF(AW37="none",AB37,AW37))</f>
        <v>44564</v>
      </c>
      <c r="E37" s="50" t="n">
        <f aca="false">IFERROR(DAYS360(AB37,D37),0)</f>
        <v>0</v>
      </c>
      <c r="F37" s="50" t="n">
        <f aca="false">((LEN($AQ37)-LEN(SUBSTITUTE($AQ37,CHAR(10)&amp;". ","")))/3)+IF(LEFT(TRIM($AQ37),2)=". ",1,0)</f>
        <v>1</v>
      </c>
      <c r="G37" s="50" t="n">
        <f aca="false">((LEN($AQ37)-LEN(SUBSTITUTE($AQ37,CHAR(10)&amp;"/ ","")))/3)+IF(LEFT(TRIM($AQ37),2)="/ ",1,0)</f>
        <v>0</v>
      </c>
      <c r="H37" s="50" t="n">
        <f aca="false">((LEN($AQ37)-LEN(SUBSTITUTE($AQ37,CHAR(10)&amp;"~ ","")))/3)+IF(LEFT(TRIM($AQ37),2)="~ ",1,0)</f>
        <v>0</v>
      </c>
      <c r="I37" s="50" t="n">
        <f aca="false">((LEN($AQ37)-LEN(SUBSTITUTE($AQ37,CHAR(10)&amp;"! ","")))/3)+IF(LEFT(TRIM($AQ37),2)="! ",1,0)</f>
        <v>0</v>
      </c>
      <c r="J37" s="50" t="n">
        <f aca="false">((LEN($AQ37)-LEN(SUBSTITUTE($AQ37,CHAR(10)&amp;"x ","")))/3)+IF(LEFT(TRIM($AQ37),2)="x ",1,0)</f>
        <v>0</v>
      </c>
      <c r="K37" s="50" t="n">
        <f aca="false">SUM(F37:J37)</f>
        <v>1</v>
      </c>
      <c r="L37" s="51" t="n">
        <f aca="false">YEAR(D37)</f>
        <v>2022</v>
      </c>
      <c r="M37" s="51" t="str">
        <f aca="false">VLOOKUP(MONTH(D37),Static!$AJ$3:$AK$16,2,0)</f>
        <v>Jan</v>
      </c>
      <c r="N37" s="51" t="n">
        <f aca="false">WEEKNUM(D37,1)</f>
        <v>2</v>
      </c>
      <c r="O37" s="51" t="str">
        <f aca="false">IFERROR(INDEX(Static!$I$5:$L$15,MATCH(AE37,Static!$I$5:$I$15,0),3),"Z")</f>
        <v>E</v>
      </c>
      <c r="P37" s="51" t="str">
        <f aca="false">IFERROR(INDEX(Static!$I$5:$L$15,MATCH(AE37,Static!$I$5:$I$15,0),2),"Y")</f>
        <v>N</v>
      </c>
      <c r="Q37" s="51" t="str">
        <f aca="false">IFERROR(INDEX(Static!$I$5:$L$15,MATCH(AE37,Static!$I$5:$I$15,0),4),"Y")</f>
        <v>N</v>
      </c>
      <c r="R37" s="51" t="str">
        <f aca="false">IF(AND(AI37&lt;&gt;"",S37="N",$A$1&gt;=AI37-(7*$D$2)),"Y","N")</f>
        <v>N</v>
      </c>
      <c r="S37" s="51" t="str">
        <f aca="false">IF(AND(AI37&lt;&gt;"",$A$1&gt;=AI37),"Y","N")</f>
        <v>N</v>
      </c>
      <c r="T37" s="51" t="str">
        <f aca="false">IF(D37&gt;(($A$1-WEEKDAY($A$1,2))-7*$D$2),"Y","N")</f>
        <v>N</v>
      </c>
      <c r="U37" s="49" t="str">
        <f aca="false">IF(AR37&gt;0,"Y","N")</f>
        <v>Y</v>
      </c>
      <c r="V37" s="51" t="str">
        <f aca="false">IF(AND(T37="Y",U37="N"),"Y","N")</f>
        <v>N</v>
      </c>
      <c r="W37" s="52" t="str">
        <f aca="false">IF(OR(R37="Y",AND(U37="Y",S37="Y"), $A$1=AI37),"Y","N")</f>
        <v>N</v>
      </c>
      <c r="X37" s="49" t="str">
        <f aca="false">IF(OR(AC37="Y",AC37="N"),AC37,IF(AND(Q37="Y", OR(T37="Y",V37="Y", W37="Y")),"Y","N"))</f>
        <v>N</v>
      </c>
      <c r="Y37" s="51" t="str">
        <f aca="false">IF(OR(P37="Y", U37="Y",W37="Y"),"Y","N")</f>
        <v>Y</v>
      </c>
      <c r="Z37" s="53" t="str">
        <f aca="false">" -  "&amp;O37&amp;AM37&amp;AN37&amp;AF37</f>
        <v>-  EmgtBuild new service</v>
      </c>
      <c r="AA37" s="51" t="str">
        <f aca="false">IFERROR(VLOOKUP(WEEKDAY(AB37),Static!$AL$3:$AM$11,2,0),"")</f>
        <v>Mon</v>
      </c>
      <c r="AB37" s="49" t="n">
        <f aca="false">IF(AH37&lt;&gt;"",AH37,AV37)</f>
        <v>44564</v>
      </c>
      <c r="AC37" s="54"/>
      <c r="AD37" s="54"/>
      <c r="AE37" s="55" t="s">
        <v>540</v>
      </c>
      <c r="AF37" s="56" t="s">
        <v>541</v>
      </c>
      <c r="AG37" s="56" t="s">
        <v>542</v>
      </c>
      <c r="AH37" s="54"/>
      <c r="AI37" s="54"/>
      <c r="AJ37" s="57"/>
      <c r="AK37" s="54" t="s">
        <v>543</v>
      </c>
      <c r="AL37" s="54" t="s">
        <v>544</v>
      </c>
      <c r="AM37" s="54" t="s">
        <v>447</v>
      </c>
      <c r="AN37" s="54"/>
      <c r="AO37" s="58" t="s">
        <v>545</v>
      </c>
      <c r="AP37" s="56" t="s">
        <v>449</v>
      </c>
      <c r="AQ37" s="56" t="s">
        <v>546</v>
      </c>
      <c r="AR37" s="51" t="n">
        <f aca="false">SUM(F37:I37)</f>
        <v>1</v>
      </c>
      <c r="AS37" s="59" t="n">
        <f aca="false">IF(AF37="",1,IF(K37&lt;&gt;0,(G37*0.5+J37)/K37,1))</f>
        <v>0</v>
      </c>
      <c r="AT37" s="60" t="str">
        <f aca="false">IF(AP37="","",IF(ISERROR(FIND(CHAR(10),AP37,1)),AP37,LEFT(AP37,FIND(CHAR(10),AP37,1))))</f>
        <v>03-01-22: init</v>
      </c>
      <c r="AU37" s="61" t="str">
        <f aca="false">IF(AP37="","",IFERROR(RIGHT(AP37,LEN(AP37)-FIND("@@@",SUBSTITUTE(AP37,CHAR(10),"@@@",LEN(AP37)-LEN(SUBSTITUTE(AP37,CHAR(10),""))),1)),AP37))</f>
        <v>03-01-22: init</v>
      </c>
      <c r="AV37" s="62" t="n">
        <f aca="false">IFERROR(DATE(("20"&amp;MID(AT37,7,2))*1,MID(AT37,4,2)*1,MID(AT37,1,2)*1),"")</f>
        <v>44564</v>
      </c>
      <c r="AW37" s="62" t="n">
        <f aca="false">IFERROR(DATE(("20"&amp;MID(AU37,7,2))*1,MID(AU37,4,2)*1,MID(AU37,1,2)*1),"")</f>
        <v>44564</v>
      </c>
      <c r="AX37" s="56" t="s">
        <v>450</v>
      </c>
    </row>
    <row r="38" customFormat="false" ht="12.75" hidden="false" customHeight="true" outlineLevel="0" collapsed="false">
      <c r="A38" s="63"/>
      <c r="B38" s="49" t="str">
        <f aca="false">IF(AK38="","tbc",AK38)</f>
        <v>STE</v>
      </c>
      <c r="C38" s="49" t="str">
        <f aca="false">IF(AL38="","VNT",AL38)</f>
        <v>VNT</v>
      </c>
      <c r="D38" s="49" t="n">
        <f aca="false">MAX(AB38,IF(AW38="none",AB38,AW38))</f>
        <v>45030</v>
      </c>
      <c r="E38" s="50" t="n">
        <f aca="false">IFERROR(DAYS360(AB38,D38),0)</f>
        <v>461</v>
      </c>
      <c r="F38" s="50" t="n">
        <f aca="false">((LEN($AQ38)-LEN(SUBSTITUTE($AQ38,CHAR(10)&amp;". ","")))/3)+IF(LEFT(TRIM($AQ38),2)=". ",1,0)</f>
        <v>0</v>
      </c>
      <c r="G38" s="50" t="n">
        <f aca="false">((LEN($AQ38)-LEN(SUBSTITUTE($AQ38,CHAR(10)&amp;"/ ","")))/3)+IF(LEFT(TRIM($AQ38),2)="/ ",1,0)</f>
        <v>0</v>
      </c>
      <c r="H38" s="50" t="n">
        <f aca="false">((LEN($AQ38)-LEN(SUBSTITUTE($AQ38,CHAR(10)&amp;"~ ","")))/3)+IF(LEFT(TRIM($AQ38),2)="~ ",1,0)</f>
        <v>0</v>
      </c>
      <c r="I38" s="50" t="n">
        <f aca="false">((LEN($AQ38)-LEN(SUBSTITUTE($AQ38,CHAR(10)&amp;"! ","")))/3)+IF(LEFT(TRIM($AQ38),2)="! ",1,0)</f>
        <v>0</v>
      </c>
      <c r="J38" s="50" t="n">
        <f aca="false">((LEN($AQ38)-LEN(SUBSTITUTE($AQ38,CHAR(10)&amp;"x ","")))/3)+IF(LEFT(TRIM($AQ38),2)="x ",1,0)</f>
        <v>0</v>
      </c>
      <c r="K38" s="50" t="n">
        <f aca="false">SUM(F38:J38)</f>
        <v>0</v>
      </c>
      <c r="L38" s="51" t="n">
        <f aca="false">YEAR(D38)</f>
        <v>2023</v>
      </c>
      <c r="M38" s="51" t="str">
        <f aca="false">VLOOKUP(MONTH(D38),Static!$AJ$3:$AK$16,2,0)</f>
        <v>Apr</v>
      </c>
      <c r="N38" s="51" t="n">
        <f aca="false">WEEKNUM(D38,1)</f>
        <v>15</v>
      </c>
      <c r="O38" s="51" t="str">
        <f aca="false">IFERROR(INDEX(Static!$I$5:$L$15,MATCH(AE38,Static!$I$5:$I$15,0),3),"Z")</f>
        <v>F</v>
      </c>
      <c r="P38" s="51" t="str">
        <f aca="false">IFERROR(INDEX(Static!$I$5:$L$15,MATCH(AE38,Static!$I$5:$I$15,0),2),"Y")</f>
        <v>N</v>
      </c>
      <c r="Q38" s="51" t="str">
        <f aca="false">IFERROR(INDEX(Static!$I$5:$L$15,MATCH(AE38,Static!$I$5:$I$15,0),4),"Y")</f>
        <v>Y</v>
      </c>
      <c r="R38" s="51" t="str">
        <f aca="false">IF(AND(AI38&lt;&gt;"",S38="N",$A$1&gt;=AI38-(7*$D$2)),"Y","N")</f>
        <v>N</v>
      </c>
      <c r="S38" s="51" t="str">
        <f aca="false">IF(AND(AI38&lt;&gt;"",$A$1&gt;=AI38),"Y","N")</f>
        <v>N</v>
      </c>
      <c r="T38" s="51" t="str">
        <f aca="false">IF(D38&gt;(($A$1-WEEKDAY($A$1,2))-7*$D$2),"Y","N")</f>
        <v>N</v>
      </c>
      <c r="U38" s="49" t="str">
        <f aca="false">IF(AR38&gt;0,"Y","N")</f>
        <v>N</v>
      </c>
      <c r="V38" s="51" t="str">
        <f aca="false">IF(AND(T38="Y",U38="N"),"Y","N")</f>
        <v>N</v>
      </c>
      <c r="W38" s="52" t="str">
        <f aca="false">IF(OR(R38="Y",AND(U38="Y",S38="Y"), $A$1=AI38),"Y","N")</f>
        <v>N</v>
      </c>
      <c r="X38" s="49" t="str">
        <f aca="false">IF(OR(AC38="Y",AC38="N"),AC38,IF(AND(Q38="Y", OR(T38="Y",V38="Y", W38="Y")),"Y","N"))</f>
        <v>N</v>
      </c>
      <c r="Y38" s="51" t="str">
        <f aca="false">IF(OR(P38="Y", U38="Y",W38="Y"),"Y","N")</f>
        <v>N</v>
      </c>
      <c r="Z38" s="53" t="str">
        <f aca="false">" -  "&amp;O38&amp;AM38&amp;AN38&amp;AF38</f>
        <v>-  FmgtDo something – W</v>
      </c>
      <c r="AA38" s="51" t="str">
        <f aca="false">IFERROR(VLOOKUP(WEEKDAY(AB38),Static!$AL$3:$AM$11,2,0),"")</f>
        <v>Mon</v>
      </c>
      <c r="AB38" s="49" t="n">
        <f aca="false">IF(AH38&lt;&gt;"",AH38,AV38)</f>
        <v>44564</v>
      </c>
      <c r="AC38" s="54"/>
      <c r="AD38" s="54"/>
      <c r="AE38" s="55" t="s">
        <v>547</v>
      </c>
      <c r="AF38" s="56" t="s">
        <v>548</v>
      </c>
      <c r="AG38" s="56"/>
      <c r="AH38" s="54"/>
      <c r="AI38" s="54"/>
      <c r="AJ38" s="57"/>
      <c r="AK38" s="54" t="s">
        <v>446</v>
      </c>
      <c r="AL38" s="54" t="s">
        <v>343</v>
      </c>
      <c r="AM38" s="54" t="s">
        <v>447</v>
      </c>
      <c r="AN38" s="54"/>
      <c r="AO38" s="58" t="s">
        <v>545</v>
      </c>
      <c r="AP38" s="58" t="s">
        <v>523</v>
      </c>
      <c r="AQ38" s="56"/>
      <c r="AR38" s="51" t="n">
        <f aca="false">SUM(F38:I38)</f>
        <v>0</v>
      </c>
      <c r="AS38" s="59" t="n">
        <f aca="false">IF(AF38="",1,IF(K38&lt;&gt;0,(G38*0.5+J38)/K38,1))</f>
        <v>1</v>
      </c>
      <c r="AT38" s="64" t="str">
        <f aca="false">IF(AP38="","",IF(ISERROR(FIND(CHAR(10),AP38,1)),AP38,LEFT(AP38,FIND(CHAR(10),AP38,1))))</f>
        <v>03-01-22: init</v>
      </c>
      <c r="AU38" s="65" t="str">
        <f aca="false">IF(AP38="","",IFERROR(RIGHT(AP38,LEN(AP38)-FIND("@@@",SUBSTITUTE(AP38,CHAR(10),"@@@",LEN(AP38)-LEN(SUBSTITUTE(AP38,CHAR(10),""))),1)),AP38))</f>
        <v>14-04-23: report</v>
      </c>
      <c r="AV38" s="62" t="n">
        <f aca="false">IFERROR(DATE(("20"&amp;MID(AT38,7,2))*1,MID(AT38,4,2)*1,MID(AT38,1,2)*1),"")</f>
        <v>44564</v>
      </c>
      <c r="AW38" s="62" t="n">
        <f aca="false">IFERROR(DATE(("20"&amp;MID(AU38,7,2))*1,MID(AU38,4,2)*1,MID(AU38,1,2)*1),"")</f>
        <v>45030</v>
      </c>
      <c r="AX38" s="56" t="s">
        <v>450</v>
      </c>
    </row>
    <row r="39" customFormat="false" ht="12.75" hidden="false" customHeight="true" outlineLevel="0" collapsed="false">
      <c r="B39" s="49" t="str">
        <f aca="false">IF(AK39="","tbc",AK39)</f>
        <v>tbc</v>
      </c>
      <c r="C39" s="49" t="str">
        <f aca="false">IF(AL39="","VNT",AL39)</f>
        <v>VNT</v>
      </c>
      <c r="D39" s="49" t="n">
        <f aca="false">MAX(AB39,IF(AW39="none",AB39,AW39))</f>
        <v>0</v>
      </c>
      <c r="E39" s="50" t="n">
        <f aca="false">IFERROR(DAYS360(AB39,D39),0)</f>
        <v>0</v>
      </c>
      <c r="F39" s="50" t="n">
        <f aca="false">((LEN($AQ39)-LEN(SUBSTITUTE($AQ39,CHAR(10)&amp;". ","")))/3)+IF(LEFT(TRIM($AQ39),2)=". ",1,0)</f>
        <v>0</v>
      </c>
      <c r="G39" s="50" t="n">
        <f aca="false">((LEN($AQ39)-LEN(SUBSTITUTE($AQ39,CHAR(10)&amp;"/ ","")))/3)+IF(LEFT(TRIM($AQ39),2)="/ ",1,0)</f>
        <v>0</v>
      </c>
      <c r="H39" s="50" t="n">
        <f aca="false">((LEN($AQ39)-LEN(SUBSTITUTE($AQ39,CHAR(10)&amp;"~ ","")))/3)+IF(LEFT(TRIM($AQ39),2)="~ ",1,0)</f>
        <v>0</v>
      </c>
      <c r="I39" s="50" t="n">
        <f aca="false">((LEN($AQ39)-LEN(SUBSTITUTE($AQ39,CHAR(10)&amp;"! ","")))/3)+IF(LEFT(TRIM($AQ39),2)="! ",1,0)</f>
        <v>0</v>
      </c>
      <c r="J39" s="50" t="n">
        <f aca="false">((LEN($AQ39)-LEN(SUBSTITUTE($AQ39,CHAR(10)&amp;"x ","")))/3)+IF(LEFT(TRIM($AQ39),2)="x ",1,0)</f>
        <v>0</v>
      </c>
      <c r="K39" s="50" t="n">
        <f aca="false">SUM(F39:J39)</f>
        <v>0</v>
      </c>
      <c r="L39" s="51" t="n">
        <f aca="false">YEAR(D39)</f>
        <v>1899</v>
      </c>
      <c r="M39" s="51" t="str">
        <f aca="false">VLOOKUP(MONTH(D39),Static!$AJ$3:$AK$16,2,0)</f>
        <v>Dec</v>
      </c>
      <c r="N39" s="51" t="n">
        <f aca="false">WEEKNUM(D39,1)</f>
        <v>52</v>
      </c>
      <c r="O39" s="51" t="str">
        <f aca="false">IFERROR(INDEX(Static!$I$5:$L$15,MATCH(AE39,Static!$I$5:$I$15,0),3),"Z")</f>
        <v>H</v>
      </c>
      <c r="P39" s="51" t="str">
        <f aca="false">IFERROR(INDEX(Static!$I$5:$L$15,MATCH(AE39,Static!$I$5:$I$15,0),2),"Y")</f>
        <v>N</v>
      </c>
      <c r="Q39" s="51" t="str">
        <f aca="false">IFERROR(INDEX(Static!$I$5:$L$15,MATCH(AE39,Static!$I$5:$I$15,0),4),"Y")</f>
        <v>Y</v>
      </c>
      <c r="R39" s="51" t="str">
        <f aca="false">IF(AND(AI39&lt;&gt;"",S39="N",$A$1&gt;=AI39-(7*$D$2)),"Y","N")</f>
        <v>N</v>
      </c>
      <c r="S39" s="51" t="str">
        <f aca="false">IF(AND(AI39&lt;&gt;"",$A$1&gt;=AI39),"Y","N")</f>
        <v>N</v>
      </c>
      <c r="T39" s="51" t="str">
        <f aca="false">IF(D39&gt;(($A$1-WEEKDAY($A$1,2))-7*$D$2),"Y","N")</f>
        <v>N</v>
      </c>
      <c r="U39" s="49" t="str">
        <f aca="false">IF(AR39&gt;0,"Y","N")</f>
        <v>N</v>
      </c>
      <c r="V39" s="51" t="str">
        <f aca="false">IF(AND(T39="Y",U39="N"),"Y","N")</f>
        <v>N</v>
      </c>
      <c r="W39" s="52" t="str">
        <f aca="false">IF(OR(R39="Y",AND(U39="Y",S39="Y"), $A$1=AI39),"Y","N")</f>
        <v>N</v>
      </c>
      <c r="X39" s="49" t="str">
        <f aca="false">IF(OR(AC39="Y",AC39="N"),AC39,IF(AND(Q39="Y", OR(T39="Y",V39="Y", W39="Y")),"Y","N"))</f>
        <v>N</v>
      </c>
      <c r="Y39" s="51" t="str">
        <f aca="false">IF(OR(P39="Y", U39="Y",W39="Y"),"Y","N")</f>
        <v>N</v>
      </c>
      <c r="Z39" s="53" t="str">
        <f aca="false">" -  "&amp;O39&amp;AM39&amp;AN39&amp;AF39</f>
        <v>-  HmgtSome</v>
      </c>
      <c r="AA39" s="51" t="str">
        <f aca="false">IFERROR(VLOOKUP(WEEKDAY(AB39),Static!$AL$3:$AM$11,2,0),"")</f>
        <v/>
      </c>
      <c r="AB39" s="49" t="str">
        <f aca="false">IF(AH39&lt;&gt;"",AH39,AV39)</f>
        <v/>
      </c>
      <c r="AC39" s="54"/>
      <c r="AD39" s="54"/>
      <c r="AE39" s="55" t="s">
        <v>549</v>
      </c>
      <c r="AF39" s="56" t="s">
        <v>550</v>
      </c>
      <c r="AG39" s="56"/>
      <c r="AH39" s="54"/>
      <c r="AI39" s="54"/>
      <c r="AJ39" s="57"/>
      <c r="AK39" s="54"/>
      <c r="AL39" s="54"/>
      <c r="AM39" s="54" t="s">
        <v>447</v>
      </c>
      <c r="AN39" s="54"/>
      <c r="AO39" s="56"/>
      <c r="AP39" s="56"/>
      <c r="AQ39" s="58"/>
      <c r="AR39" s="51" t="n">
        <f aca="false">SUM(F39:I39)</f>
        <v>0</v>
      </c>
      <c r="AS39" s="59" t="n">
        <f aca="false">IF(AF39="",1,IF(K39&lt;&gt;0,(G39*0.5+J39)/K39,1))</f>
        <v>1</v>
      </c>
      <c r="AT39" s="60" t="str">
        <f aca="false">IF(AP39="","",IF(ISERROR(FIND(CHAR(10),AP39,1)),AP39,LEFT(AP39,FIND(CHAR(10),AP39,1))))</f>
        <v/>
      </c>
      <c r="AU39" s="61" t="str">
        <f aca="false">IF(AP39="","",IFERROR(RIGHT(AP39,LEN(AP39)-FIND("@@@",SUBSTITUTE(AP39,CHAR(10),"@@@",LEN(AP39)-LEN(SUBSTITUTE(AP39,CHAR(10),""))),1)),AP39))</f>
        <v/>
      </c>
      <c r="AV39" s="62" t="str">
        <f aca="false">IFERROR(DATE(("20"&amp;MID(AT39,7,2))*1,MID(AT39,4,2)*1,MID(AT39,1,2)*1),"")</f>
        <v/>
      </c>
      <c r="AW39" s="62" t="str">
        <f aca="false">IFERROR(DATE(("20"&amp;MID(AU39,7,2))*1,MID(AU39,4,2)*1,MID(AU39,1,2)*1),"")</f>
        <v/>
      </c>
      <c r="AX39" s="56" t="s">
        <v>450</v>
      </c>
    </row>
    <row r="40" customFormat="false" ht="12.75" hidden="false" customHeight="true" outlineLevel="0" collapsed="false">
      <c r="B40" s="49" t="str">
        <f aca="false">IF(AK40="","tbc",AK40)</f>
        <v>tbc</v>
      </c>
      <c r="C40" s="49" t="str">
        <f aca="false">IF(AL40="","VNT",AL40)</f>
        <v>VNT</v>
      </c>
      <c r="D40" s="49" t="n">
        <f aca="false">MAX(AB40,IF(AW40="none",AB40,AW40))</f>
        <v>0</v>
      </c>
      <c r="E40" s="50" t="n">
        <f aca="false">IFERROR(DAYS360(AB40,D40),0)</f>
        <v>0</v>
      </c>
      <c r="F40" s="50" t="n">
        <f aca="false">((LEN($AQ40)-LEN(SUBSTITUTE($AQ40,CHAR(10)&amp;". ","")))/3)+IF(LEFT(TRIM($AQ40),2)=". ",1,0)</f>
        <v>0</v>
      </c>
      <c r="G40" s="50" t="n">
        <f aca="false">((LEN($AQ40)-LEN(SUBSTITUTE($AQ40,CHAR(10)&amp;"/ ","")))/3)+IF(LEFT(TRIM($AQ40),2)="/ ",1,0)</f>
        <v>0</v>
      </c>
      <c r="H40" s="50" t="n">
        <f aca="false">((LEN($AQ40)-LEN(SUBSTITUTE($AQ40,CHAR(10)&amp;"~ ","")))/3)+IF(LEFT(TRIM($AQ40),2)="~ ",1,0)</f>
        <v>0</v>
      </c>
      <c r="I40" s="50" t="n">
        <f aca="false">((LEN($AQ40)-LEN(SUBSTITUTE($AQ40,CHAR(10)&amp;"! ","")))/3)+IF(LEFT(TRIM($AQ40),2)="! ",1,0)</f>
        <v>0</v>
      </c>
      <c r="J40" s="50" t="n">
        <f aca="false">((LEN($AQ40)-LEN(SUBSTITUTE($AQ40,CHAR(10)&amp;"x ","")))/3)+IF(LEFT(TRIM($AQ40),2)="x ",1,0)</f>
        <v>0</v>
      </c>
      <c r="K40" s="50" t="n">
        <f aca="false">SUM(F40:J40)</f>
        <v>0</v>
      </c>
      <c r="L40" s="51" t="n">
        <f aca="false">YEAR(D40)</f>
        <v>1899</v>
      </c>
      <c r="M40" s="51" t="str">
        <f aca="false">VLOOKUP(MONTH(D40),Static!$AJ$3:$AK$16,2,0)</f>
        <v>Dec</v>
      </c>
      <c r="N40" s="51" t="n">
        <f aca="false">WEEKNUM(D40,1)</f>
        <v>52</v>
      </c>
      <c r="O40" s="51" t="str">
        <f aca="false">IFERROR(INDEX(Static!$I$5:$L$15,MATCH(AE40,Static!$I$5:$I$15,0),3),"Z")</f>
        <v>Z</v>
      </c>
      <c r="P40" s="51" t="str">
        <f aca="false">IFERROR(INDEX(Static!$I$5:$L$15,MATCH(AE40,Static!$I$5:$I$15,0),2),"Y")</f>
        <v>Y</v>
      </c>
      <c r="Q40" s="51" t="str">
        <f aca="false">IFERROR(INDEX(Static!$I$5:$L$15,MATCH(AE40,Static!$I$5:$I$15,0),4),"Y")</f>
        <v>Y</v>
      </c>
      <c r="R40" s="51" t="str">
        <f aca="false">IF(AND(AI40&lt;&gt;"",S40="N",$A$1&gt;=AI40-(7*$D$2)),"Y","N")</f>
        <v>N</v>
      </c>
      <c r="S40" s="51" t="str">
        <f aca="false">IF(AND(AI40&lt;&gt;"",$A$1&gt;=AI40),"Y","N")</f>
        <v>N</v>
      </c>
      <c r="T40" s="51" t="str">
        <f aca="false">IF(D40&gt;(($A$1-WEEKDAY($A$1,2))-7*$D$2),"Y","N")</f>
        <v>N</v>
      </c>
      <c r="U40" s="49" t="str">
        <f aca="false">IF(AR40&gt;0,"Y","N")</f>
        <v>N</v>
      </c>
      <c r="V40" s="51" t="str">
        <f aca="false">IF(AND(T40="Y",U40="N"),"Y","N")</f>
        <v>N</v>
      </c>
      <c r="W40" s="52" t="str">
        <f aca="false">IF(OR(R40="Y",AND(U40="Y",S40="Y"), $A$1=AI40),"Y","N")</f>
        <v>N</v>
      </c>
      <c r="X40" s="49" t="str">
        <f aca="false">IF(OR(AC40="Y",AC40="N"),AC40,IF(AND(Q40="Y", OR(T40="Y",V40="Y", W40="Y")),"Y","N"))</f>
        <v>N</v>
      </c>
      <c r="Y40" s="51" t="str">
        <f aca="false">IF(OR(P40="Y", U40="Y",W40="Y"),"Y","N")</f>
        <v>Y</v>
      </c>
      <c r="Z40" s="53" t="str">
        <f aca="false">" -  "&amp;O40&amp;AM40&amp;AN40&amp;AF40</f>
        <v>-  Z</v>
      </c>
      <c r="AA40" s="51" t="str">
        <f aca="false">IFERROR(VLOOKUP(WEEKDAY(AB40),Static!$AL$3:$AM$11,2,0),"")</f>
        <v/>
      </c>
      <c r="AB40" s="49" t="str">
        <f aca="false">IF(AH40&lt;&gt;"",AH40,AV40)</f>
        <v/>
      </c>
      <c r="AC40" s="54"/>
      <c r="AD40" s="54"/>
      <c r="AE40" s="55"/>
      <c r="AF40" s="56"/>
      <c r="AG40" s="56"/>
      <c r="AH40" s="54"/>
      <c r="AI40" s="54"/>
      <c r="AJ40" s="57"/>
      <c r="AK40" s="54"/>
      <c r="AL40" s="54"/>
      <c r="AM40" s="54"/>
      <c r="AN40" s="54"/>
      <c r="AO40" s="56"/>
      <c r="AP40" s="56"/>
      <c r="AQ40" s="58"/>
      <c r="AR40" s="51" t="n">
        <f aca="false">SUM(F40:I40)</f>
        <v>0</v>
      </c>
      <c r="AS40" s="59" t="n">
        <f aca="false">IF(AF40="",1,IF(K40&lt;&gt;0,(G40*0.5+J40)/K40,1))</f>
        <v>1</v>
      </c>
      <c r="AT40" s="60" t="str">
        <f aca="false">IF(AP40="","",IF(ISERROR(FIND(CHAR(10),AP40,1)),AP40,LEFT(AP40,FIND(CHAR(10),AP40,1))))</f>
        <v/>
      </c>
      <c r="AU40" s="61" t="str">
        <f aca="false">IF(AP40="","",IFERROR(RIGHT(AP40,LEN(AP40)-FIND("@@@",SUBSTITUTE(AP40,CHAR(10),"@@@",LEN(AP40)-LEN(SUBSTITUTE(AP40,CHAR(10),""))),1)),AP40))</f>
        <v/>
      </c>
      <c r="AV40" s="62" t="str">
        <f aca="false">IFERROR(DATE(("20"&amp;MID(AT40,7,2))*1,MID(AT40,4,2)*1,MID(AT40,1,2)*1),"")</f>
        <v/>
      </c>
      <c r="AW40" s="62" t="str">
        <f aca="false">IFERROR(DATE(("20"&amp;MID(AU40,7,2))*1,MID(AU40,4,2)*1,MID(AU40,1,2)*1),"")</f>
        <v/>
      </c>
      <c r="AX40" s="56" t="s">
        <v>450</v>
      </c>
    </row>
    <row r="41" customFormat="false" ht="12.75" hidden="false" customHeight="true" outlineLevel="0" collapsed="false">
      <c r="B41" s="49" t="str">
        <f aca="false">IF(AK41="","tbc",AK41)</f>
        <v>tbc</v>
      </c>
      <c r="C41" s="49" t="str">
        <f aca="false">IF(AL41="","VNT",AL41)</f>
        <v>VNT</v>
      </c>
      <c r="D41" s="49" t="n">
        <f aca="false">MAX(AB41,IF(AW41="none",AB41,AW41))</f>
        <v>0</v>
      </c>
      <c r="E41" s="50" t="n">
        <f aca="false">IFERROR(DAYS360(AB41,D41),0)</f>
        <v>0</v>
      </c>
      <c r="F41" s="50" t="n">
        <f aca="false">((LEN($AQ41)-LEN(SUBSTITUTE($AQ41,CHAR(10)&amp;". ","")))/3)+IF(LEFT(TRIM($AQ41),2)=". ",1,0)</f>
        <v>0</v>
      </c>
      <c r="G41" s="50" t="n">
        <f aca="false">((LEN($AQ41)-LEN(SUBSTITUTE($AQ41,CHAR(10)&amp;"/ ","")))/3)+IF(LEFT(TRIM($AQ41),2)="/ ",1,0)</f>
        <v>0</v>
      </c>
      <c r="H41" s="50" t="n">
        <f aca="false">((LEN($AQ41)-LEN(SUBSTITUTE($AQ41,CHAR(10)&amp;"~ ","")))/3)+IF(LEFT(TRIM($AQ41),2)="~ ",1,0)</f>
        <v>0</v>
      </c>
      <c r="I41" s="50" t="n">
        <f aca="false">((LEN($AQ41)-LEN(SUBSTITUTE($AQ41,CHAR(10)&amp;"! ","")))/3)+IF(LEFT(TRIM($AQ41),2)="! ",1,0)</f>
        <v>0</v>
      </c>
      <c r="J41" s="50" t="n">
        <f aca="false">((LEN($AQ41)-LEN(SUBSTITUTE($AQ41,CHAR(10)&amp;"x ","")))/3)+IF(LEFT(TRIM($AQ41),2)="x ",1,0)</f>
        <v>0</v>
      </c>
      <c r="K41" s="50" t="n">
        <f aca="false">SUM(F41:J41)</f>
        <v>0</v>
      </c>
      <c r="L41" s="51" t="n">
        <f aca="false">YEAR(D41)</f>
        <v>1899</v>
      </c>
      <c r="M41" s="51" t="str">
        <f aca="false">VLOOKUP(MONTH(D41),Static!$AJ$3:$AK$16,2,0)</f>
        <v>Dec</v>
      </c>
      <c r="N41" s="51" t="n">
        <f aca="false">WEEKNUM(D41,1)</f>
        <v>52</v>
      </c>
      <c r="O41" s="51" t="str">
        <f aca="false">IFERROR(INDEX(Static!$I$5:$L$15,MATCH(AE41,Static!$I$5:$I$15,0),3),"Z")</f>
        <v>Z</v>
      </c>
      <c r="P41" s="51" t="str">
        <f aca="false">IFERROR(INDEX(Static!$I$5:$L$15,MATCH(AE41,Static!$I$5:$I$15,0),2),"Y")</f>
        <v>Y</v>
      </c>
      <c r="Q41" s="51" t="str">
        <f aca="false">IFERROR(INDEX(Static!$I$5:$L$15,MATCH(AE41,Static!$I$5:$I$15,0),4),"Y")</f>
        <v>Y</v>
      </c>
      <c r="R41" s="51" t="str">
        <f aca="false">IF(AND(AI41&lt;&gt;"",S41="N",$A$1&gt;=AI41-(7*$D$2)),"Y","N")</f>
        <v>N</v>
      </c>
      <c r="S41" s="51" t="str">
        <f aca="false">IF(AND(AI41&lt;&gt;"",$A$1&gt;=AI41),"Y","N")</f>
        <v>N</v>
      </c>
      <c r="T41" s="51" t="str">
        <f aca="false">IF(D41&gt;(($A$1-WEEKDAY($A$1,2))-7*$D$2),"Y","N")</f>
        <v>N</v>
      </c>
      <c r="U41" s="49" t="str">
        <f aca="false">IF(AR41&gt;0,"Y","N")</f>
        <v>N</v>
      </c>
      <c r="V41" s="51" t="str">
        <f aca="false">IF(AND(T41="Y",U41="N"),"Y","N")</f>
        <v>N</v>
      </c>
      <c r="W41" s="52" t="str">
        <f aca="false">IF(OR(R41="Y",AND(U41="Y",S41="Y"), $A$1=AI41),"Y","N")</f>
        <v>N</v>
      </c>
      <c r="X41" s="49" t="str">
        <f aca="false">IF(OR(AC41="Y",AC41="N"),AC41,IF(AND(Q41="Y", OR(T41="Y",V41="Y", W41="Y")),"Y","N"))</f>
        <v>N</v>
      </c>
      <c r="Y41" s="51" t="str">
        <f aca="false">IF(OR(P41="Y", U41="Y",W41="Y"),"Y","N")</f>
        <v>Y</v>
      </c>
      <c r="Z41" s="53" t="str">
        <f aca="false">" -  "&amp;O41&amp;AM41&amp;AN41&amp;AF41</f>
        <v>-  Z</v>
      </c>
      <c r="AA41" s="51" t="str">
        <f aca="false">IFERROR(VLOOKUP(WEEKDAY(AB41),Static!$AL$3:$AM$11,2,0),"")</f>
        <v/>
      </c>
      <c r="AB41" s="49" t="str">
        <f aca="false">IF(AH41&lt;&gt;"",AH41,AV41)</f>
        <v/>
      </c>
      <c r="AC41" s="54"/>
      <c r="AD41" s="54"/>
      <c r="AE41" s="55"/>
      <c r="AF41" s="56"/>
      <c r="AG41" s="56"/>
      <c r="AH41" s="54"/>
      <c r="AI41" s="54"/>
      <c r="AJ41" s="57"/>
      <c r="AK41" s="54"/>
      <c r="AL41" s="54"/>
      <c r="AM41" s="54"/>
      <c r="AN41" s="54"/>
      <c r="AO41" s="56"/>
      <c r="AP41" s="56"/>
      <c r="AQ41" s="56"/>
      <c r="AR41" s="51" t="n">
        <f aca="false">SUM(F41:I41)</f>
        <v>0</v>
      </c>
      <c r="AS41" s="59" t="n">
        <f aca="false">IF(AF41="",1,IF(K41&lt;&gt;0,(G41*0.5+J41)/K41,1))</f>
        <v>1</v>
      </c>
      <c r="AT41" s="60" t="str">
        <f aca="false">IF(AP41="","",IF(ISERROR(FIND(CHAR(10),AP41,1)),AP41,LEFT(AP41,FIND(CHAR(10),AP41,1))))</f>
        <v/>
      </c>
      <c r="AU41" s="61" t="str">
        <f aca="false">IF(AP41="","",IFERROR(RIGHT(AP41,LEN(AP41)-FIND("@@@",SUBSTITUTE(AP41,CHAR(10),"@@@",LEN(AP41)-LEN(SUBSTITUTE(AP41,CHAR(10),""))),1)),AP41))</f>
        <v/>
      </c>
      <c r="AV41" s="62" t="str">
        <f aca="false">IFERROR(DATE(("20"&amp;MID(AT41,7,2))*1,MID(AT41,4,2)*1,MID(AT41,1,2)*1),"")</f>
        <v/>
      </c>
      <c r="AW41" s="62" t="str">
        <f aca="false">IFERROR(DATE(("20"&amp;MID(AU41,7,2))*1,MID(AU41,4,2)*1,MID(AU41,1,2)*1),"")</f>
        <v/>
      </c>
      <c r="AX41" s="56" t="s">
        <v>450</v>
      </c>
    </row>
    <row r="42" customFormat="false" ht="12.75" hidden="false" customHeight="true" outlineLevel="0" collapsed="false">
      <c r="B42" s="49" t="str">
        <f aca="false">IF(AK42="","tbc",AK42)</f>
        <v>tbc</v>
      </c>
      <c r="C42" s="49" t="str">
        <f aca="false">IF(AL42="","VNT",AL42)</f>
        <v>VNT</v>
      </c>
      <c r="D42" s="49" t="n">
        <f aca="false">MAX(AB42,IF(AW42="none",AB42,AW42))</f>
        <v>0</v>
      </c>
      <c r="E42" s="50" t="n">
        <f aca="false">IFERROR(DAYS360(AB42,D42),0)</f>
        <v>0</v>
      </c>
      <c r="F42" s="50" t="n">
        <f aca="false">((LEN($AQ42)-LEN(SUBSTITUTE($AQ42,CHAR(10)&amp;". ","")))/3)+IF(LEFT(TRIM($AQ42),2)=". ",1,0)</f>
        <v>0</v>
      </c>
      <c r="G42" s="50" t="n">
        <f aca="false">((LEN($AQ42)-LEN(SUBSTITUTE($AQ42,CHAR(10)&amp;"/ ","")))/3)+IF(LEFT(TRIM($AQ42),2)="/ ",1,0)</f>
        <v>0</v>
      </c>
      <c r="H42" s="50" t="n">
        <f aca="false">((LEN($AQ42)-LEN(SUBSTITUTE($AQ42,CHAR(10)&amp;"~ ","")))/3)+IF(LEFT(TRIM($AQ42),2)="~ ",1,0)</f>
        <v>0</v>
      </c>
      <c r="I42" s="50" t="n">
        <f aca="false">((LEN($AQ42)-LEN(SUBSTITUTE($AQ42,CHAR(10)&amp;"! ","")))/3)+IF(LEFT(TRIM($AQ42),2)="! ",1,0)</f>
        <v>0</v>
      </c>
      <c r="J42" s="50" t="n">
        <f aca="false">((LEN($AQ42)-LEN(SUBSTITUTE($AQ42,CHAR(10)&amp;"x ","")))/3)+IF(LEFT(TRIM($AQ42),2)="x ",1,0)</f>
        <v>0</v>
      </c>
      <c r="K42" s="50" t="n">
        <f aca="false">SUM(F42:J42)</f>
        <v>0</v>
      </c>
      <c r="L42" s="51" t="n">
        <f aca="false">YEAR(D42)</f>
        <v>1899</v>
      </c>
      <c r="M42" s="51" t="str">
        <f aca="false">VLOOKUP(MONTH(D42),Static!$AJ$3:$AK$16,2,0)</f>
        <v>Dec</v>
      </c>
      <c r="N42" s="51" t="n">
        <f aca="false">WEEKNUM(D42,1)</f>
        <v>52</v>
      </c>
      <c r="O42" s="51" t="str">
        <f aca="false">IFERROR(INDEX(Static!$I$5:$L$15,MATCH(AE42,Static!$I$5:$I$15,0),3),"Z")</f>
        <v>Z</v>
      </c>
      <c r="P42" s="51" t="str">
        <f aca="false">IFERROR(INDEX(Static!$I$5:$L$15,MATCH(AE42,Static!$I$5:$I$15,0),2),"Y")</f>
        <v>Y</v>
      </c>
      <c r="Q42" s="51" t="str">
        <f aca="false">IFERROR(INDEX(Static!$I$5:$L$15,MATCH(AE42,Static!$I$5:$I$15,0),4),"Y")</f>
        <v>Y</v>
      </c>
      <c r="R42" s="51" t="str">
        <f aca="false">IF(AND(AI42&lt;&gt;"",S42="N",$A$1&gt;=AI42-(7*$D$2)),"Y","N")</f>
        <v>N</v>
      </c>
      <c r="S42" s="51" t="str">
        <f aca="false">IF(AND(AI42&lt;&gt;"",$A$1&gt;=AI42),"Y","N")</f>
        <v>N</v>
      </c>
      <c r="T42" s="51" t="str">
        <f aca="false">IF(D42&gt;(($A$1-WEEKDAY($A$1,2))-7*$D$2),"Y","N")</f>
        <v>N</v>
      </c>
      <c r="U42" s="49" t="str">
        <f aca="false">IF(AR42&gt;0,"Y","N")</f>
        <v>N</v>
      </c>
      <c r="V42" s="51" t="str">
        <f aca="false">IF(AND(T42="Y",U42="N"),"Y","N")</f>
        <v>N</v>
      </c>
      <c r="W42" s="52" t="str">
        <f aca="false">IF(OR(R42="Y",AND(U42="Y",S42="Y"), $A$1=AI42),"Y","N")</f>
        <v>N</v>
      </c>
      <c r="X42" s="49" t="str">
        <f aca="false">IF(OR(AC42="Y",AC42="N"),AC42,IF(AND(Q42="Y", OR(T42="Y",V42="Y", W42="Y")),"Y","N"))</f>
        <v>N</v>
      </c>
      <c r="Y42" s="51" t="str">
        <f aca="false">IF(OR(P42="Y", U42="Y",W42="Y"),"Y","N")</f>
        <v>Y</v>
      </c>
      <c r="Z42" s="53" t="str">
        <f aca="false">" -  "&amp;O42&amp;AM42&amp;AN42&amp;AF42</f>
        <v>-  Z</v>
      </c>
      <c r="AA42" s="51" t="str">
        <f aca="false">IFERROR(VLOOKUP(WEEKDAY(AB42),Static!$AL$3:$AM$11,2,0),"")</f>
        <v/>
      </c>
      <c r="AB42" s="49" t="str">
        <f aca="false">IF(AH42&lt;&gt;"",AH42,AV42)</f>
        <v/>
      </c>
      <c r="AC42" s="54"/>
      <c r="AD42" s="54"/>
      <c r="AE42" s="55"/>
      <c r="AF42" s="56"/>
      <c r="AG42" s="56"/>
      <c r="AH42" s="54"/>
      <c r="AI42" s="54"/>
      <c r="AJ42" s="57"/>
      <c r="AK42" s="54"/>
      <c r="AL42" s="54"/>
      <c r="AM42" s="54"/>
      <c r="AN42" s="54"/>
      <c r="AO42" s="56"/>
      <c r="AP42" s="56"/>
      <c r="AQ42" s="58"/>
      <c r="AR42" s="51" t="n">
        <f aca="false">SUM(F42:I42)</f>
        <v>0</v>
      </c>
      <c r="AS42" s="59" t="n">
        <f aca="false">IF(AF42="",1,IF(K42&lt;&gt;0,(G42*0.5+J42)/K42,1))</f>
        <v>1</v>
      </c>
      <c r="AT42" s="60" t="str">
        <f aca="false">IF(AP42="","",IF(ISERROR(FIND(CHAR(10),AP42,1)),AP42,LEFT(AP42,FIND(CHAR(10),AP42,1))))</f>
        <v/>
      </c>
      <c r="AU42" s="61" t="str">
        <f aca="false">IF(AP42="","",IFERROR(RIGHT(AP42,LEN(AP42)-FIND("@@@",SUBSTITUTE(AP42,CHAR(10),"@@@",LEN(AP42)-LEN(SUBSTITUTE(AP42,CHAR(10),""))),1)),AP42))</f>
        <v/>
      </c>
      <c r="AV42" s="62" t="str">
        <f aca="false">IFERROR(DATE(("20"&amp;MID(AT42,7,2))*1,MID(AT42,4,2)*1,MID(AT42,1,2)*1),"")</f>
        <v/>
      </c>
      <c r="AW42" s="62" t="str">
        <f aca="false">IFERROR(DATE(("20"&amp;MID(AU42,7,2))*1,MID(AU42,4,2)*1,MID(AU42,1,2)*1),"")</f>
        <v/>
      </c>
      <c r="AX42" s="56" t="s">
        <v>450</v>
      </c>
    </row>
    <row r="43" customFormat="false" ht="12.75" hidden="false" customHeight="true" outlineLevel="0" collapsed="false">
      <c r="B43" s="49" t="str">
        <f aca="false">IF(AK43="","tbc",AK43)</f>
        <v>tbc</v>
      </c>
      <c r="C43" s="49" t="str">
        <f aca="false">IF(AL43="","VNT",AL43)</f>
        <v>VNT</v>
      </c>
      <c r="D43" s="49" t="n">
        <f aca="false">MAX(AB43,IF(AW43="none",AB43,AW43))</f>
        <v>0</v>
      </c>
      <c r="E43" s="50" t="n">
        <f aca="false">IFERROR(DAYS360(AB43,D43),0)</f>
        <v>0</v>
      </c>
      <c r="F43" s="50" t="n">
        <f aca="false">((LEN($AQ43)-LEN(SUBSTITUTE($AQ43,CHAR(10)&amp;". ","")))/3)+IF(LEFT(TRIM($AQ43),2)=". ",1,0)</f>
        <v>0</v>
      </c>
      <c r="G43" s="50" t="n">
        <f aca="false">((LEN($AQ43)-LEN(SUBSTITUTE($AQ43,CHAR(10)&amp;"/ ","")))/3)+IF(LEFT(TRIM($AQ43),2)="/ ",1,0)</f>
        <v>0</v>
      </c>
      <c r="H43" s="50" t="n">
        <f aca="false">((LEN($AQ43)-LEN(SUBSTITUTE($AQ43,CHAR(10)&amp;"~ ","")))/3)+IF(LEFT(TRIM($AQ43),2)="~ ",1,0)</f>
        <v>0</v>
      </c>
      <c r="I43" s="50" t="n">
        <f aca="false">((LEN($AQ43)-LEN(SUBSTITUTE($AQ43,CHAR(10)&amp;"! ","")))/3)+IF(LEFT(TRIM($AQ43),2)="! ",1,0)</f>
        <v>0</v>
      </c>
      <c r="J43" s="50" t="n">
        <f aca="false">((LEN($AQ43)-LEN(SUBSTITUTE($AQ43,CHAR(10)&amp;"x ","")))/3)+IF(LEFT(TRIM($AQ43),2)="x ",1,0)</f>
        <v>0</v>
      </c>
      <c r="K43" s="50" t="n">
        <f aca="false">SUM(F43:J43)</f>
        <v>0</v>
      </c>
      <c r="L43" s="51" t="n">
        <f aca="false">YEAR(D43)</f>
        <v>1899</v>
      </c>
      <c r="M43" s="51" t="str">
        <f aca="false">VLOOKUP(MONTH(D43),Static!$AJ$3:$AK$16,2,0)</f>
        <v>Dec</v>
      </c>
      <c r="N43" s="51" t="n">
        <f aca="false">WEEKNUM(D43,1)</f>
        <v>52</v>
      </c>
      <c r="O43" s="51" t="str">
        <f aca="false">IFERROR(INDEX(Static!$I$5:$L$15,MATCH(AE43,Static!$I$5:$I$15,0),3),"Z")</f>
        <v>Z</v>
      </c>
      <c r="P43" s="51" t="str">
        <f aca="false">IFERROR(INDEX(Static!$I$5:$L$15,MATCH(AE43,Static!$I$5:$I$15,0),2),"Y")</f>
        <v>Y</v>
      </c>
      <c r="Q43" s="51" t="str">
        <f aca="false">IFERROR(INDEX(Static!$I$5:$L$15,MATCH(AE43,Static!$I$5:$I$15,0),4),"Y")</f>
        <v>Y</v>
      </c>
      <c r="R43" s="51" t="str">
        <f aca="false">IF(AND(AI43&lt;&gt;"",S43="N",$A$1&gt;=AI43-(7*$D$2)),"Y","N")</f>
        <v>N</v>
      </c>
      <c r="S43" s="51" t="str">
        <f aca="false">IF(AND(AI43&lt;&gt;"",$A$1&gt;=AI43),"Y","N")</f>
        <v>N</v>
      </c>
      <c r="T43" s="51" t="str">
        <f aca="false">IF(D43&gt;(($A$1-WEEKDAY($A$1,2))-7*$D$2),"Y","N")</f>
        <v>N</v>
      </c>
      <c r="U43" s="49" t="str">
        <f aca="false">IF(AR43&gt;0,"Y","N")</f>
        <v>N</v>
      </c>
      <c r="V43" s="51" t="str">
        <f aca="false">IF(AND(T43="Y",U43="N"),"Y","N")</f>
        <v>N</v>
      </c>
      <c r="W43" s="52" t="str">
        <f aca="false">IF(OR(R43="Y",AND(U43="Y",S43="Y"), $A$1=AI43),"Y","N")</f>
        <v>N</v>
      </c>
      <c r="X43" s="49" t="str">
        <f aca="false">IF(OR(AC43="Y",AC43="N"),AC43,IF(AND(Q43="Y", OR(T43="Y",V43="Y", W43="Y")),"Y","N"))</f>
        <v>N</v>
      </c>
      <c r="Y43" s="51" t="str">
        <f aca="false">IF(OR(P43="Y", U43="Y",W43="Y"),"Y","N")</f>
        <v>Y</v>
      </c>
      <c r="Z43" s="53" t="str">
        <f aca="false">" -  "&amp;O43&amp;AM43&amp;AN43&amp;AF43</f>
        <v>-  Z</v>
      </c>
      <c r="AA43" s="51" t="str">
        <f aca="false">IFERROR(VLOOKUP(WEEKDAY(AB43),Static!$AL$3:$AM$11,2,0),"")</f>
        <v/>
      </c>
      <c r="AB43" s="49" t="str">
        <f aca="false">IF(AH43&lt;&gt;"",AH43,AV43)</f>
        <v/>
      </c>
      <c r="AC43" s="54"/>
      <c r="AD43" s="54"/>
      <c r="AE43" s="55"/>
      <c r="AF43" s="56"/>
      <c r="AG43" s="56"/>
      <c r="AH43" s="54"/>
      <c r="AI43" s="54"/>
      <c r="AJ43" s="57"/>
      <c r="AK43" s="54"/>
      <c r="AL43" s="54"/>
      <c r="AM43" s="54"/>
      <c r="AN43" s="54"/>
      <c r="AO43" s="56"/>
      <c r="AP43" s="56"/>
      <c r="AQ43" s="58"/>
      <c r="AR43" s="51" t="n">
        <f aca="false">SUM(F43:I43)</f>
        <v>0</v>
      </c>
      <c r="AS43" s="59" t="n">
        <f aca="false">IF(AF43="",1,IF(K43&lt;&gt;0,(G43*0.5+J43)/K43,1))</f>
        <v>1</v>
      </c>
      <c r="AT43" s="60" t="str">
        <f aca="false">IF(AP43="","",IF(ISERROR(FIND(CHAR(10),AP43,1)),AP43,LEFT(AP43,FIND(CHAR(10),AP43,1))))</f>
        <v/>
      </c>
      <c r="AU43" s="61" t="str">
        <f aca="false">IF(AP43="","",IFERROR(RIGHT(AP43,LEN(AP43)-FIND("@@@",SUBSTITUTE(AP43,CHAR(10),"@@@",LEN(AP43)-LEN(SUBSTITUTE(AP43,CHAR(10),""))),1)),AP43))</f>
        <v/>
      </c>
      <c r="AV43" s="62" t="str">
        <f aca="false">IFERROR(DATE(("20"&amp;MID(AT43,7,2))*1,MID(AT43,4,2)*1,MID(AT43,1,2)*1),"")</f>
        <v/>
      </c>
      <c r="AW43" s="62" t="str">
        <f aca="false">IFERROR(DATE(("20"&amp;MID(AU43,7,2))*1,MID(AU43,4,2)*1,MID(AU43,1,2)*1),"")</f>
        <v/>
      </c>
      <c r="AX43" s="56" t="s">
        <v>450</v>
      </c>
    </row>
    <row r="44" customFormat="false" ht="12.75" hidden="false" customHeight="true" outlineLevel="0" collapsed="false">
      <c r="B44" s="49" t="str">
        <f aca="false">IF(AK44="","tbc",AK44)</f>
        <v>tbc</v>
      </c>
      <c r="C44" s="49" t="str">
        <f aca="false">IF(AL44="","VNT",AL44)</f>
        <v>VNT</v>
      </c>
      <c r="D44" s="49" t="n">
        <f aca="false">MAX(AB44,IF(AW44="none",AB44,AW44))</f>
        <v>0</v>
      </c>
      <c r="E44" s="50" t="n">
        <f aca="false">IFERROR(DAYS360(AB44,D44),0)</f>
        <v>0</v>
      </c>
      <c r="F44" s="50" t="n">
        <f aca="false">((LEN($AQ44)-LEN(SUBSTITUTE($AQ44,CHAR(10)&amp;". ","")))/3)+IF(LEFT(TRIM($AQ44),2)=". ",1,0)</f>
        <v>0</v>
      </c>
      <c r="G44" s="50" t="n">
        <f aca="false">((LEN($AQ44)-LEN(SUBSTITUTE($AQ44,CHAR(10)&amp;"/ ","")))/3)+IF(LEFT(TRIM($AQ44),2)="/ ",1,0)</f>
        <v>0</v>
      </c>
      <c r="H44" s="50" t="n">
        <f aca="false">((LEN($AQ44)-LEN(SUBSTITUTE($AQ44,CHAR(10)&amp;"~ ","")))/3)+IF(LEFT(TRIM($AQ44),2)="~ ",1,0)</f>
        <v>0</v>
      </c>
      <c r="I44" s="50" t="n">
        <f aca="false">((LEN($AQ44)-LEN(SUBSTITUTE($AQ44,CHAR(10)&amp;"! ","")))/3)+IF(LEFT(TRIM($AQ44),2)="! ",1,0)</f>
        <v>0</v>
      </c>
      <c r="J44" s="50" t="n">
        <f aca="false">((LEN($AQ44)-LEN(SUBSTITUTE($AQ44,CHAR(10)&amp;"x ","")))/3)+IF(LEFT(TRIM($AQ44),2)="x ",1,0)</f>
        <v>0</v>
      </c>
      <c r="K44" s="50" t="n">
        <f aca="false">SUM(F44:J44)</f>
        <v>0</v>
      </c>
      <c r="L44" s="51" t="n">
        <f aca="false">YEAR(D44)</f>
        <v>1899</v>
      </c>
      <c r="M44" s="51" t="str">
        <f aca="false">VLOOKUP(MONTH(D44),Static!$AJ$3:$AK$16,2,0)</f>
        <v>Dec</v>
      </c>
      <c r="N44" s="51" t="n">
        <f aca="false">WEEKNUM(D44,1)</f>
        <v>52</v>
      </c>
      <c r="O44" s="51" t="str">
        <f aca="false">IFERROR(INDEX(Static!$I$5:$L$15,MATCH(AE44,Static!$I$5:$I$15,0),3),"Z")</f>
        <v>Z</v>
      </c>
      <c r="P44" s="51" t="str">
        <f aca="false">IFERROR(INDEX(Static!$I$5:$L$15,MATCH(AE44,Static!$I$5:$I$15,0),2),"Y")</f>
        <v>Y</v>
      </c>
      <c r="Q44" s="51" t="str">
        <f aca="false">IFERROR(INDEX(Static!$I$5:$L$15,MATCH(AE44,Static!$I$5:$I$15,0),4),"Y")</f>
        <v>Y</v>
      </c>
      <c r="R44" s="51" t="str">
        <f aca="false">IF(AND(AI44&lt;&gt;"",S44="N",$A$1&gt;=AI44-(7*$D$2)),"Y","N")</f>
        <v>N</v>
      </c>
      <c r="S44" s="51" t="str">
        <f aca="false">IF(AND(AI44&lt;&gt;"",$A$1&gt;=AI44),"Y","N")</f>
        <v>N</v>
      </c>
      <c r="T44" s="51" t="str">
        <f aca="false">IF(D44&gt;(($A$1-WEEKDAY($A$1,2))-7*$D$2),"Y","N")</f>
        <v>N</v>
      </c>
      <c r="U44" s="49" t="str">
        <f aca="false">IF(AR44&gt;0,"Y","N")</f>
        <v>N</v>
      </c>
      <c r="V44" s="51" t="str">
        <f aca="false">IF(AND(T44="Y",U44="N"),"Y","N")</f>
        <v>N</v>
      </c>
      <c r="W44" s="52" t="str">
        <f aca="false">IF(OR(R44="Y",AND(U44="Y",S44="Y"), $A$1=AI44),"Y","N")</f>
        <v>N</v>
      </c>
      <c r="X44" s="49" t="str">
        <f aca="false">IF(OR(AC44="Y",AC44="N"),AC44,IF(AND(Q44="Y", OR(T44="Y",V44="Y", W44="Y")),"Y","N"))</f>
        <v>N</v>
      </c>
      <c r="Y44" s="51" t="str">
        <f aca="false">IF(OR(P44="Y", U44="Y",W44="Y"),"Y","N")</f>
        <v>Y</v>
      </c>
      <c r="Z44" s="53" t="str">
        <f aca="false">" -  "&amp;O44&amp;AM44&amp;AN44&amp;AF44</f>
        <v>-  Z</v>
      </c>
      <c r="AA44" s="51" t="str">
        <f aca="false">IFERROR(VLOOKUP(WEEKDAY(AB44),Static!$AL$3:$AM$11,2,0),"")</f>
        <v/>
      </c>
      <c r="AB44" s="49" t="str">
        <f aca="false">IF(AH44&lt;&gt;"",AH44,AV44)</f>
        <v/>
      </c>
      <c r="AC44" s="54"/>
      <c r="AD44" s="54"/>
      <c r="AE44" s="55"/>
      <c r="AF44" s="56"/>
      <c r="AG44" s="56"/>
      <c r="AH44" s="54"/>
      <c r="AI44" s="54"/>
      <c r="AJ44" s="57"/>
      <c r="AK44" s="54"/>
      <c r="AL44" s="54"/>
      <c r="AM44" s="54"/>
      <c r="AN44" s="54"/>
      <c r="AO44" s="56"/>
      <c r="AP44" s="56"/>
      <c r="AQ44" s="56"/>
      <c r="AR44" s="51" t="n">
        <f aca="false">SUM(F44:I44)</f>
        <v>0</v>
      </c>
      <c r="AS44" s="59" t="n">
        <f aca="false">IF(AF44="",1,IF(K44&lt;&gt;0,(G44*0.5+J44)/K44,1))</f>
        <v>1</v>
      </c>
      <c r="AT44" s="60" t="str">
        <f aca="false">IF(AP44="","",IF(ISERROR(FIND(CHAR(10),AP44,1)),AP44,LEFT(AP44,FIND(CHAR(10),AP44,1))))</f>
        <v/>
      </c>
      <c r="AU44" s="61" t="str">
        <f aca="false">IF(AP44="","",IFERROR(RIGHT(AP44,LEN(AP44)-FIND("@@@",SUBSTITUTE(AP44,CHAR(10),"@@@",LEN(AP44)-LEN(SUBSTITUTE(AP44,CHAR(10),""))),1)),AP44))</f>
        <v/>
      </c>
      <c r="AV44" s="62" t="str">
        <f aca="false">IFERROR(DATE(("20"&amp;MID(AT44,7,2))*1,MID(AT44,4,2)*1,MID(AT44,1,2)*1),"")</f>
        <v/>
      </c>
      <c r="AW44" s="62" t="str">
        <f aca="false">IFERROR(DATE(("20"&amp;MID(AU44,7,2))*1,MID(AU44,4,2)*1,MID(AU44,1,2)*1),"")</f>
        <v/>
      </c>
      <c r="AX44" s="56" t="s">
        <v>450</v>
      </c>
    </row>
    <row r="45" customFormat="false" ht="12.75" hidden="false" customHeight="true" outlineLevel="0" collapsed="false">
      <c r="B45" s="49" t="str">
        <f aca="false">IF(AK45="","tbc",AK45)</f>
        <v>tbc</v>
      </c>
      <c r="C45" s="49" t="str">
        <f aca="false">IF(AL45="","VNT",AL45)</f>
        <v>VNT</v>
      </c>
      <c r="D45" s="49" t="n">
        <f aca="false">MAX(AB45,IF(AW45="none",AB45,AW45))</f>
        <v>0</v>
      </c>
      <c r="E45" s="50" t="n">
        <f aca="false">IFERROR(DAYS360(AB45,D45),0)</f>
        <v>0</v>
      </c>
      <c r="F45" s="50" t="n">
        <f aca="false">((LEN($AQ45)-LEN(SUBSTITUTE($AQ45,CHAR(10)&amp;". ","")))/3)+IF(LEFT(TRIM($AQ45),2)=". ",1,0)</f>
        <v>0</v>
      </c>
      <c r="G45" s="50" t="n">
        <f aca="false">((LEN($AQ45)-LEN(SUBSTITUTE($AQ45,CHAR(10)&amp;"/ ","")))/3)+IF(LEFT(TRIM($AQ45),2)="/ ",1,0)</f>
        <v>0</v>
      </c>
      <c r="H45" s="50" t="n">
        <f aca="false">((LEN($AQ45)-LEN(SUBSTITUTE($AQ45,CHAR(10)&amp;"~ ","")))/3)+IF(LEFT(TRIM($AQ45),2)="~ ",1,0)</f>
        <v>0</v>
      </c>
      <c r="I45" s="50" t="n">
        <f aca="false">((LEN($AQ45)-LEN(SUBSTITUTE($AQ45,CHAR(10)&amp;"! ","")))/3)+IF(LEFT(TRIM($AQ45),2)="! ",1,0)</f>
        <v>0</v>
      </c>
      <c r="J45" s="50" t="n">
        <f aca="false">((LEN($AQ45)-LEN(SUBSTITUTE($AQ45,CHAR(10)&amp;"x ","")))/3)+IF(LEFT(TRIM($AQ45),2)="x ",1,0)</f>
        <v>0</v>
      </c>
      <c r="K45" s="50" t="n">
        <f aca="false">SUM(F45:J45)</f>
        <v>0</v>
      </c>
      <c r="L45" s="51" t="n">
        <f aca="false">YEAR(D45)</f>
        <v>1899</v>
      </c>
      <c r="M45" s="51" t="str">
        <f aca="false">VLOOKUP(MONTH(D45),Static!$AJ$3:$AK$16,2,0)</f>
        <v>Dec</v>
      </c>
      <c r="N45" s="51" t="n">
        <f aca="false">WEEKNUM(D45,1)</f>
        <v>52</v>
      </c>
      <c r="O45" s="51" t="str">
        <f aca="false">IFERROR(INDEX(Static!$I$5:$L$15,MATCH(AE45,Static!$I$5:$I$15,0),3),"Z")</f>
        <v>Z</v>
      </c>
      <c r="P45" s="51" t="str">
        <f aca="false">IFERROR(INDEX(Static!$I$5:$L$15,MATCH(AE45,Static!$I$5:$I$15,0),2),"Y")</f>
        <v>Y</v>
      </c>
      <c r="Q45" s="51" t="str">
        <f aca="false">IFERROR(INDEX(Static!$I$5:$L$15,MATCH(AE45,Static!$I$5:$I$15,0),4),"Y")</f>
        <v>Y</v>
      </c>
      <c r="R45" s="51" t="str">
        <f aca="false">IF(AND(AI45&lt;&gt;"",S45="N",$A$1&gt;=AI45-(7*$D$2)),"Y","N")</f>
        <v>N</v>
      </c>
      <c r="S45" s="51" t="str">
        <f aca="false">IF(AND(AI45&lt;&gt;"",$A$1&gt;=AI45),"Y","N")</f>
        <v>N</v>
      </c>
      <c r="T45" s="51" t="str">
        <f aca="false">IF(D45&gt;(($A$1-WEEKDAY($A$1,2))-7*$D$2),"Y","N")</f>
        <v>N</v>
      </c>
      <c r="U45" s="49" t="str">
        <f aca="false">IF(AR45&gt;0,"Y","N")</f>
        <v>N</v>
      </c>
      <c r="V45" s="51" t="str">
        <f aca="false">IF(AND(T45="Y",U45="N"),"Y","N")</f>
        <v>N</v>
      </c>
      <c r="W45" s="52" t="str">
        <f aca="false">IF(OR(R45="Y",AND(U45="Y",S45="Y"), $A$1=AI45),"Y","N")</f>
        <v>N</v>
      </c>
      <c r="X45" s="49" t="str">
        <f aca="false">IF(OR(AC45="Y",AC45="N"),AC45,IF(AND(Q45="Y", OR(T45="Y",V45="Y", W45="Y")),"Y","N"))</f>
        <v>N</v>
      </c>
      <c r="Y45" s="51" t="str">
        <f aca="false">IF(OR(P45="Y", U45="Y",W45="Y"),"Y","N")</f>
        <v>Y</v>
      </c>
      <c r="Z45" s="53" t="str">
        <f aca="false">" -  "&amp;O45&amp;AM45&amp;AN45&amp;AF45</f>
        <v>-  Z</v>
      </c>
      <c r="AA45" s="51" t="str">
        <f aca="false">IFERROR(VLOOKUP(WEEKDAY(AB45),Static!$AL$3:$AM$11,2,0),"")</f>
        <v/>
      </c>
      <c r="AB45" s="49" t="str">
        <f aca="false">IF(AH45&lt;&gt;"",AH45,AV45)</f>
        <v/>
      </c>
      <c r="AC45" s="54"/>
      <c r="AD45" s="54"/>
      <c r="AE45" s="55"/>
      <c r="AF45" s="56"/>
      <c r="AG45" s="56"/>
      <c r="AH45" s="54"/>
      <c r="AI45" s="54"/>
      <c r="AJ45" s="57"/>
      <c r="AK45" s="54"/>
      <c r="AL45" s="54"/>
      <c r="AM45" s="54"/>
      <c r="AN45" s="54"/>
      <c r="AO45" s="56"/>
      <c r="AP45" s="56"/>
      <c r="AQ45" s="58"/>
      <c r="AR45" s="51" t="n">
        <f aca="false">SUM(F45:I45)</f>
        <v>0</v>
      </c>
      <c r="AS45" s="59" t="n">
        <f aca="false">IF(AF45="",1,IF(K45&lt;&gt;0,(G45*0.5+J45)/K45,1))</f>
        <v>1</v>
      </c>
      <c r="AT45" s="60" t="str">
        <f aca="false">IF(AP45="","",IF(ISERROR(FIND(CHAR(10),AP45,1)),AP45,LEFT(AP45,FIND(CHAR(10),AP45,1))))</f>
        <v/>
      </c>
      <c r="AU45" s="61" t="str">
        <f aca="false">IF(AP45="","",IFERROR(RIGHT(AP45,LEN(AP45)-FIND("@@@",SUBSTITUTE(AP45,CHAR(10),"@@@",LEN(AP45)-LEN(SUBSTITUTE(AP45,CHAR(10),""))),1)),AP45))</f>
        <v/>
      </c>
      <c r="AV45" s="62" t="str">
        <f aca="false">IFERROR(DATE(("20"&amp;MID(AT45,7,2))*1,MID(AT45,4,2)*1,MID(AT45,1,2)*1),"")</f>
        <v/>
      </c>
      <c r="AW45" s="62" t="str">
        <f aca="false">IFERROR(DATE(("20"&amp;MID(AU45,7,2))*1,MID(AU45,4,2)*1,MID(AU45,1,2)*1),"")</f>
        <v/>
      </c>
      <c r="AX45" s="56" t="s">
        <v>450</v>
      </c>
    </row>
    <row r="46" customFormat="false" ht="12.75" hidden="false" customHeight="true" outlineLevel="0" collapsed="false">
      <c r="B46" s="49" t="str">
        <f aca="false">IF(AK46="","tbc",AK46)</f>
        <v>tbc</v>
      </c>
      <c r="C46" s="49" t="str">
        <f aca="false">IF(AL46="","VNT",AL46)</f>
        <v>VNT</v>
      </c>
      <c r="D46" s="49" t="n">
        <f aca="false">MAX(AB46,IF(AW46="none",AB46,AW46))</f>
        <v>0</v>
      </c>
      <c r="E46" s="50" t="n">
        <f aca="false">IFERROR(DAYS360(AB46,D46),0)</f>
        <v>0</v>
      </c>
      <c r="F46" s="50" t="n">
        <f aca="false">((LEN($AQ46)-LEN(SUBSTITUTE($AQ46,CHAR(10)&amp;". ","")))/3)+IF(LEFT(TRIM($AQ46),2)=". ",1,0)</f>
        <v>0</v>
      </c>
      <c r="G46" s="50" t="n">
        <f aca="false">((LEN($AQ46)-LEN(SUBSTITUTE($AQ46,CHAR(10)&amp;"/ ","")))/3)+IF(LEFT(TRIM($AQ46),2)="/ ",1,0)</f>
        <v>0</v>
      </c>
      <c r="H46" s="50" t="n">
        <f aca="false">((LEN($AQ46)-LEN(SUBSTITUTE($AQ46,CHAR(10)&amp;"~ ","")))/3)+IF(LEFT(TRIM($AQ46),2)="~ ",1,0)</f>
        <v>0</v>
      </c>
      <c r="I46" s="50" t="n">
        <f aca="false">((LEN($AQ46)-LEN(SUBSTITUTE($AQ46,CHAR(10)&amp;"! ","")))/3)+IF(LEFT(TRIM($AQ46),2)="! ",1,0)</f>
        <v>0</v>
      </c>
      <c r="J46" s="50" t="n">
        <f aca="false">((LEN($AQ46)-LEN(SUBSTITUTE($AQ46,CHAR(10)&amp;"x ","")))/3)+IF(LEFT(TRIM($AQ46),2)="x ",1,0)</f>
        <v>0</v>
      </c>
      <c r="K46" s="50" t="n">
        <f aca="false">SUM(F46:J46)</f>
        <v>0</v>
      </c>
      <c r="L46" s="51" t="n">
        <f aca="false">YEAR(D46)</f>
        <v>1899</v>
      </c>
      <c r="M46" s="51" t="str">
        <f aca="false">VLOOKUP(MONTH(D46),Static!$AJ$3:$AK$16,2,0)</f>
        <v>Dec</v>
      </c>
      <c r="N46" s="51" t="n">
        <f aca="false">WEEKNUM(D46,1)</f>
        <v>52</v>
      </c>
      <c r="O46" s="51" t="str">
        <f aca="false">IFERROR(INDEX(Static!$I$5:$L$15,MATCH(AE46,Static!$I$5:$I$15,0),3),"Z")</f>
        <v>Z</v>
      </c>
      <c r="P46" s="51" t="str">
        <f aca="false">IFERROR(INDEX(Static!$I$5:$L$15,MATCH(AE46,Static!$I$5:$I$15,0),2),"Y")</f>
        <v>Y</v>
      </c>
      <c r="Q46" s="51" t="str">
        <f aca="false">IFERROR(INDEX(Static!$I$5:$L$15,MATCH(AE46,Static!$I$5:$I$15,0),4),"Y")</f>
        <v>Y</v>
      </c>
      <c r="R46" s="51" t="str">
        <f aca="false">IF(AND(AI46&lt;&gt;"",S46="N",$A$1&gt;=AI46-(7*$D$2)),"Y","N")</f>
        <v>N</v>
      </c>
      <c r="S46" s="51" t="str">
        <f aca="false">IF(AND(AI46&lt;&gt;"",$A$1&gt;=AI46),"Y","N")</f>
        <v>N</v>
      </c>
      <c r="T46" s="51" t="str">
        <f aca="false">IF(D46&gt;(($A$1-WEEKDAY($A$1,2))-7*$D$2),"Y","N")</f>
        <v>N</v>
      </c>
      <c r="U46" s="49" t="str">
        <f aca="false">IF(AR46&gt;0,"Y","N")</f>
        <v>N</v>
      </c>
      <c r="V46" s="51" t="str">
        <f aca="false">IF(AND(T46="Y",U46="N"),"Y","N")</f>
        <v>N</v>
      </c>
      <c r="W46" s="52" t="str">
        <f aca="false">IF(OR(R46="Y",AND(U46="Y",S46="Y"), $A$1=AI46),"Y","N")</f>
        <v>N</v>
      </c>
      <c r="X46" s="49" t="str">
        <f aca="false">IF(OR(AC46="Y",AC46="N"),AC46,IF(AND(Q46="Y", OR(T46="Y",V46="Y", W46="Y")),"Y","N"))</f>
        <v>N</v>
      </c>
      <c r="Y46" s="51" t="str">
        <f aca="false">IF(OR(P46="Y", U46="Y",W46="Y"),"Y","N")</f>
        <v>Y</v>
      </c>
      <c r="Z46" s="53" t="str">
        <f aca="false">" -  "&amp;O46&amp;AM46&amp;AN46&amp;AF46</f>
        <v>-  Z</v>
      </c>
      <c r="AA46" s="51" t="str">
        <f aca="false">IFERROR(VLOOKUP(WEEKDAY(AB46),Static!$AL$3:$AM$11,2,0),"")</f>
        <v/>
      </c>
      <c r="AB46" s="49" t="str">
        <f aca="false">IF(AH46&lt;&gt;"",AH46,AV46)</f>
        <v/>
      </c>
      <c r="AC46" s="54"/>
      <c r="AD46" s="54"/>
      <c r="AE46" s="55"/>
      <c r="AF46" s="56"/>
      <c r="AG46" s="56"/>
      <c r="AH46" s="54"/>
      <c r="AI46" s="54"/>
      <c r="AJ46" s="57"/>
      <c r="AK46" s="54"/>
      <c r="AL46" s="54"/>
      <c r="AM46" s="54"/>
      <c r="AN46" s="54"/>
      <c r="AO46" s="56"/>
      <c r="AP46" s="56"/>
      <c r="AQ46" s="58"/>
      <c r="AR46" s="51" t="n">
        <f aca="false">SUM(F46:I46)</f>
        <v>0</v>
      </c>
      <c r="AS46" s="59" t="n">
        <f aca="false">IF(AF46="",1,IF(K46&lt;&gt;0,(G46*0.5+J46)/K46,1))</f>
        <v>1</v>
      </c>
      <c r="AT46" s="60" t="str">
        <f aca="false">IF(AP46="","",IF(ISERROR(FIND(CHAR(10),AP46,1)),AP46,LEFT(AP46,FIND(CHAR(10),AP46,1))))</f>
        <v/>
      </c>
      <c r="AU46" s="61" t="str">
        <f aca="false">IF(AP46="","",IFERROR(RIGHT(AP46,LEN(AP46)-FIND("@@@",SUBSTITUTE(AP46,CHAR(10),"@@@",LEN(AP46)-LEN(SUBSTITUTE(AP46,CHAR(10),""))),1)),AP46))</f>
        <v/>
      </c>
      <c r="AV46" s="62" t="str">
        <f aca="false">IFERROR(DATE(("20"&amp;MID(AT46,7,2))*1,MID(AT46,4,2)*1,MID(AT46,1,2)*1),"")</f>
        <v/>
      </c>
      <c r="AW46" s="62" t="str">
        <f aca="false">IFERROR(DATE(("20"&amp;MID(AU46,7,2))*1,MID(AU46,4,2)*1,MID(AU46,1,2)*1),"")</f>
        <v/>
      </c>
      <c r="AX46" s="56" t="s">
        <v>450</v>
      </c>
    </row>
    <row r="47" customFormat="false" ht="12.75" hidden="false" customHeight="true" outlineLevel="0" collapsed="false">
      <c r="B47" s="49" t="str">
        <f aca="false">IF(AK47="","tbc",AK47)</f>
        <v>tbc</v>
      </c>
      <c r="C47" s="49" t="str">
        <f aca="false">IF(AL47="","VNT",AL47)</f>
        <v>VNT</v>
      </c>
      <c r="D47" s="49" t="n">
        <f aca="false">MAX(AB47,IF(AW47="none",AB47,AW47))</f>
        <v>0</v>
      </c>
      <c r="E47" s="50" t="n">
        <f aca="false">IFERROR(DAYS360(AB47,D47),0)</f>
        <v>0</v>
      </c>
      <c r="F47" s="50" t="n">
        <f aca="false">((LEN($AQ47)-LEN(SUBSTITUTE($AQ47,CHAR(10)&amp;". ","")))/3)+IF(LEFT(TRIM($AQ47),2)=". ",1,0)</f>
        <v>0</v>
      </c>
      <c r="G47" s="50" t="n">
        <f aca="false">((LEN($AQ47)-LEN(SUBSTITUTE($AQ47,CHAR(10)&amp;"/ ","")))/3)+IF(LEFT(TRIM($AQ47),2)="/ ",1,0)</f>
        <v>0</v>
      </c>
      <c r="H47" s="50" t="n">
        <f aca="false">((LEN($AQ47)-LEN(SUBSTITUTE($AQ47,CHAR(10)&amp;"~ ","")))/3)+IF(LEFT(TRIM($AQ47),2)="~ ",1,0)</f>
        <v>0</v>
      </c>
      <c r="I47" s="50" t="n">
        <f aca="false">((LEN($AQ47)-LEN(SUBSTITUTE($AQ47,CHAR(10)&amp;"! ","")))/3)+IF(LEFT(TRIM($AQ47),2)="! ",1,0)</f>
        <v>0</v>
      </c>
      <c r="J47" s="50" t="n">
        <f aca="false">((LEN($AQ47)-LEN(SUBSTITUTE($AQ47,CHAR(10)&amp;"x ","")))/3)+IF(LEFT(TRIM($AQ47),2)="x ",1,0)</f>
        <v>0</v>
      </c>
      <c r="K47" s="50" t="n">
        <f aca="false">SUM(F47:J47)</f>
        <v>0</v>
      </c>
      <c r="L47" s="51" t="n">
        <f aca="false">YEAR(D47)</f>
        <v>1899</v>
      </c>
      <c r="M47" s="51" t="str">
        <f aca="false">VLOOKUP(MONTH(D47),Static!$AJ$3:$AK$16,2,0)</f>
        <v>Dec</v>
      </c>
      <c r="N47" s="51" t="n">
        <f aca="false">WEEKNUM(D47,1)</f>
        <v>52</v>
      </c>
      <c r="O47" s="51" t="str">
        <f aca="false">IFERROR(INDEX(Static!$I$5:$L$15,MATCH(AE47,Static!$I$5:$I$15,0),3),"Z")</f>
        <v>Z</v>
      </c>
      <c r="P47" s="51" t="str">
        <f aca="false">IFERROR(INDEX(Static!$I$5:$L$15,MATCH(AE47,Static!$I$5:$I$15,0),2),"Y")</f>
        <v>Y</v>
      </c>
      <c r="Q47" s="51" t="str">
        <f aca="false">IFERROR(INDEX(Static!$I$5:$L$15,MATCH(AE47,Static!$I$5:$I$15,0),4),"Y")</f>
        <v>Y</v>
      </c>
      <c r="R47" s="51" t="str">
        <f aca="false">IF(AND(AI47&lt;&gt;"",S47="N",$A$1&gt;=AI47-(7*$D$2)),"Y","N")</f>
        <v>N</v>
      </c>
      <c r="S47" s="51" t="str">
        <f aca="false">IF(AND(AI47&lt;&gt;"",$A$1&gt;=AI47),"Y","N")</f>
        <v>N</v>
      </c>
      <c r="T47" s="51" t="str">
        <f aca="false">IF(D47&gt;(($A$1-WEEKDAY($A$1,2))-7*$D$2),"Y","N")</f>
        <v>N</v>
      </c>
      <c r="U47" s="49" t="str">
        <f aca="false">IF(AR47&gt;0,"Y","N")</f>
        <v>N</v>
      </c>
      <c r="V47" s="51" t="str">
        <f aca="false">IF(AND(T47="Y",U47="N"),"Y","N")</f>
        <v>N</v>
      </c>
      <c r="W47" s="52" t="str">
        <f aca="false">IF(OR(R47="Y",AND(U47="Y",S47="Y"), $A$1=AI47),"Y","N")</f>
        <v>N</v>
      </c>
      <c r="X47" s="49" t="str">
        <f aca="false">IF(OR(AC47="Y",AC47="N"),AC47,IF(AND(Q47="Y", OR(T47="Y",V47="Y", W47="Y")),"Y","N"))</f>
        <v>N</v>
      </c>
      <c r="Y47" s="51" t="str">
        <f aca="false">IF(OR(P47="Y", U47="Y",W47="Y"),"Y","N")</f>
        <v>Y</v>
      </c>
      <c r="Z47" s="53" t="str">
        <f aca="false">" -  "&amp;O47&amp;AM47&amp;AN47&amp;AF47</f>
        <v>-  Z</v>
      </c>
      <c r="AA47" s="51" t="str">
        <f aca="false">IFERROR(VLOOKUP(WEEKDAY(AB47),Static!$AL$3:$AM$11,2,0),"")</f>
        <v/>
      </c>
      <c r="AB47" s="49" t="str">
        <f aca="false">IF(AH47&lt;&gt;"",AH47,AV47)</f>
        <v/>
      </c>
      <c r="AC47" s="54"/>
      <c r="AD47" s="54"/>
      <c r="AE47" s="55"/>
      <c r="AF47" s="56"/>
      <c r="AG47" s="56"/>
      <c r="AH47" s="54"/>
      <c r="AI47" s="54"/>
      <c r="AJ47" s="57"/>
      <c r="AK47" s="54"/>
      <c r="AL47" s="54"/>
      <c r="AM47" s="54"/>
      <c r="AN47" s="54"/>
      <c r="AO47" s="56"/>
      <c r="AP47" s="56"/>
      <c r="AQ47" s="56"/>
      <c r="AR47" s="51" t="n">
        <f aca="false">SUM(F47:I47)</f>
        <v>0</v>
      </c>
      <c r="AS47" s="59" t="n">
        <f aca="false">IF(AF47="",1,IF(K47&lt;&gt;0,(G47*0.5+J47)/K47,1))</f>
        <v>1</v>
      </c>
      <c r="AT47" s="60" t="str">
        <f aca="false">IF(AP47="","",IF(ISERROR(FIND(CHAR(10),AP47,1)),AP47,LEFT(AP47,FIND(CHAR(10),AP47,1))))</f>
        <v/>
      </c>
      <c r="AU47" s="61" t="str">
        <f aca="false">IF(AP47="","",IFERROR(RIGHT(AP47,LEN(AP47)-FIND("@@@",SUBSTITUTE(AP47,CHAR(10),"@@@",LEN(AP47)-LEN(SUBSTITUTE(AP47,CHAR(10),""))),1)),AP47))</f>
        <v/>
      </c>
      <c r="AV47" s="62" t="str">
        <f aca="false">IFERROR(DATE(("20"&amp;MID(AT47,7,2))*1,MID(AT47,4,2)*1,MID(AT47,1,2)*1),"")</f>
        <v/>
      </c>
      <c r="AW47" s="62" t="str">
        <f aca="false">IFERROR(DATE(("20"&amp;MID(AU47,7,2))*1,MID(AU47,4,2)*1,MID(AU47,1,2)*1),"")</f>
        <v/>
      </c>
      <c r="AX47" s="56" t="s">
        <v>450</v>
      </c>
    </row>
    <row r="48" customFormat="false" ht="12.75" hidden="false" customHeight="true" outlineLevel="0" collapsed="false">
      <c r="B48" s="49" t="str">
        <f aca="false">IF(AK48="","tbc",AK48)</f>
        <v>tbc</v>
      </c>
      <c r="C48" s="49" t="str">
        <f aca="false">IF(AL48="","VNT",AL48)</f>
        <v>VNT</v>
      </c>
      <c r="D48" s="49" t="n">
        <f aca="false">MAX(AB48,IF(AW48="none",AB48,AW48))</f>
        <v>0</v>
      </c>
      <c r="E48" s="50" t="n">
        <f aca="false">IFERROR(DAYS360(AB48,D48),0)</f>
        <v>0</v>
      </c>
      <c r="F48" s="50" t="n">
        <f aca="false">((LEN($AQ48)-LEN(SUBSTITUTE($AQ48,CHAR(10)&amp;". ","")))/3)+IF(LEFT(TRIM($AQ48),2)=". ",1,0)</f>
        <v>0</v>
      </c>
      <c r="G48" s="50" t="n">
        <f aca="false">((LEN($AQ48)-LEN(SUBSTITUTE($AQ48,CHAR(10)&amp;"/ ","")))/3)+IF(LEFT(TRIM($AQ48),2)="/ ",1,0)</f>
        <v>0</v>
      </c>
      <c r="H48" s="50" t="n">
        <f aca="false">((LEN($AQ48)-LEN(SUBSTITUTE($AQ48,CHAR(10)&amp;"~ ","")))/3)+IF(LEFT(TRIM($AQ48),2)="~ ",1,0)</f>
        <v>0</v>
      </c>
      <c r="I48" s="50" t="n">
        <f aca="false">((LEN($AQ48)-LEN(SUBSTITUTE($AQ48,CHAR(10)&amp;"! ","")))/3)+IF(LEFT(TRIM($AQ48),2)="! ",1,0)</f>
        <v>0</v>
      </c>
      <c r="J48" s="50" t="n">
        <f aca="false">((LEN($AQ48)-LEN(SUBSTITUTE($AQ48,CHAR(10)&amp;"x ","")))/3)+IF(LEFT(TRIM($AQ48),2)="x ",1,0)</f>
        <v>0</v>
      </c>
      <c r="K48" s="50" t="n">
        <f aca="false">SUM(F48:J48)</f>
        <v>0</v>
      </c>
      <c r="L48" s="51" t="n">
        <f aca="false">YEAR(D48)</f>
        <v>1899</v>
      </c>
      <c r="M48" s="51" t="str">
        <f aca="false">VLOOKUP(MONTH(D48),Static!$AJ$3:$AK$16,2,0)</f>
        <v>Dec</v>
      </c>
      <c r="N48" s="51" t="n">
        <f aca="false">WEEKNUM(D48,1)</f>
        <v>52</v>
      </c>
      <c r="O48" s="51" t="str">
        <f aca="false">IFERROR(INDEX(Static!$I$5:$L$15,MATCH(AE48,Static!$I$5:$I$15,0),3),"Z")</f>
        <v>Z</v>
      </c>
      <c r="P48" s="51" t="str">
        <f aca="false">IFERROR(INDEX(Static!$I$5:$L$15,MATCH(AE48,Static!$I$5:$I$15,0),2),"Y")</f>
        <v>Y</v>
      </c>
      <c r="Q48" s="51" t="str">
        <f aca="false">IFERROR(INDEX(Static!$I$5:$L$15,MATCH(AE48,Static!$I$5:$I$15,0),4),"Y")</f>
        <v>Y</v>
      </c>
      <c r="R48" s="51" t="str">
        <f aca="false">IF(AND(AI48&lt;&gt;"",S48="N",$A$1&gt;=AI48-(7*$D$2)),"Y","N")</f>
        <v>N</v>
      </c>
      <c r="S48" s="51" t="str">
        <f aca="false">IF(AND(AI48&lt;&gt;"",$A$1&gt;=AI48),"Y","N")</f>
        <v>N</v>
      </c>
      <c r="T48" s="51" t="str">
        <f aca="false">IF(D48&gt;(($A$1-WEEKDAY($A$1,2))-7*$D$2),"Y","N")</f>
        <v>N</v>
      </c>
      <c r="U48" s="49" t="str">
        <f aca="false">IF(AR48&gt;0,"Y","N")</f>
        <v>N</v>
      </c>
      <c r="V48" s="51" t="str">
        <f aca="false">IF(AND(T48="Y",U48="N"),"Y","N")</f>
        <v>N</v>
      </c>
      <c r="W48" s="52" t="str">
        <f aca="false">IF(OR(R48="Y",AND(U48="Y",S48="Y"), $A$1=AI48),"Y","N")</f>
        <v>N</v>
      </c>
      <c r="X48" s="49" t="str">
        <f aca="false">IF(OR(AC48="Y",AC48="N"),AC48,IF(AND(Q48="Y", OR(T48="Y",V48="Y", W48="Y")),"Y","N"))</f>
        <v>N</v>
      </c>
      <c r="Y48" s="51" t="str">
        <f aca="false">IF(OR(P48="Y", U48="Y",W48="Y"),"Y","N")</f>
        <v>Y</v>
      </c>
      <c r="Z48" s="53" t="str">
        <f aca="false">" -  "&amp;O48&amp;AM48&amp;AN48&amp;AF48</f>
        <v>-  Z</v>
      </c>
      <c r="AA48" s="51" t="str">
        <f aca="false">IFERROR(VLOOKUP(WEEKDAY(AB48),Static!$AL$3:$AM$11,2,0),"")</f>
        <v/>
      </c>
      <c r="AB48" s="49" t="str">
        <f aca="false">IF(AH48&lt;&gt;"",AH48,AV48)</f>
        <v/>
      </c>
      <c r="AC48" s="54"/>
      <c r="AD48" s="54"/>
      <c r="AE48" s="55"/>
      <c r="AF48" s="56"/>
      <c r="AG48" s="56"/>
      <c r="AH48" s="54"/>
      <c r="AI48" s="54"/>
      <c r="AJ48" s="57"/>
      <c r="AK48" s="54"/>
      <c r="AL48" s="54"/>
      <c r="AM48" s="54"/>
      <c r="AN48" s="54"/>
      <c r="AO48" s="56"/>
      <c r="AP48" s="56"/>
      <c r="AQ48" s="58"/>
      <c r="AR48" s="51" t="n">
        <f aca="false">SUM(F48:I48)</f>
        <v>0</v>
      </c>
      <c r="AS48" s="59" t="n">
        <f aca="false">IF(AF48="",1,IF(K48&lt;&gt;0,(G48*0.5+J48)/K48,1))</f>
        <v>1</v>
      </c>
      <c r="AT48" s="60" t="str">
        <f aca="false">IF(AP48="","",IF(ISERROR(FIND(CHAR(10),AP48,1)),AP48,LEFT(AP48,FIND(CHAR(10),AP48,1))))</f>
        <v/>
      </c>
      <c r="AU48" s="61" t="str">
        <f aca="false">IF(AP48="","",IFERROR(RIGHT(AP48,LEN(AP48)-FIND("@@@",SUBSTITUTE(AP48,CHAR(10),"@@@",LEN(AP48)-LEN(SUBSTITUTE(AP48,CHAR(10),""))),1)),AP48))</f>
        <v/>
      </c>
      <c r="AV48" s="62" t="str">
        <f aca="false">IFERROR(DATE(("20"&amp;MID(AT48,7,2))*1,MID(AT48,4,2)*1,MID(AT48,1,2)*1),"")</f>
        <v/>
      </c>
      <c r="AW48" s="62" t="str">
        <f aca="false">IFERROR(DATE(("20"&amp;MID(AU48,7,2))*1,MID(AU48,4,2)*1,MID(AU48,1,2)*1),"")</f>
        <v/>
      </c>
      <c r="AX48" s="56" t="s">
        <v>450</v>
      </c>
    </row>
    <row r="49" customFormat="false" ht="12.75" hidden="false" customHeight="true" outlineLevel="0" collapsed="false">
      <c r="B49" s="49" t="str">
        <f aca="false">IF(AK49="","tbc",AK49)</f>
        <v>tbc</v>
      </c>
      <c r="C49" s="49" t="str">
        <f aca="false">IF(AL49="","VNT",AL49)</f>
        <v>VNT</v>
      </c>
      <c r="D49" s="49" t="n">
        <f aca="false">MAX(AB49,IF(AW49="none",AB49,AW49))</f>
        <v>0</v>
      </c>
      <c r="E49" s="50" t="n">
        <f aca="false">IFERROR(DAYS360(AB49,D49),0)</f>
        <v>0</v>
      </c>
      <c r="F49" s="50" t="n">
        <f aca="false">((LEN($AQ49)-LEN(SUBSTITUTE($AQ49,CHAR(10)&amp;". ","")))/3)+IF(LEFT(TRIM($AQ49),2)=". ",1,0)</f>
        <v>0</v>
      </c>
      <c r="G49" s="50" t="n">
        <f aca="false">((LEN($AQ49)-LEN(SUBSTITUTE($AQ49,CHAR(10)&amp;"/ ","")))/3)+IF(LEFT(TRIM($AQ49),2)="/ ",1,0)</f>
        <v>0</v>
      </c>
      <c r="H49" s="50" t="n">
        <f aca="false">((LEN($AQ49)-LEN(SUBSTITUTE($AQ49,CHAR(10)&amp;"~ ","")))/3)+IF(LEFT(TRIM($AQ49),2)="~ ",1,0)</f>
        <v>0</v>
      </c>
      <c r="I49" s="50" t="n">
        <f aca="false">((LEN($AQ49)-LEN(SUBSTITUTE($AQ49,CHAR(10)&amp;"! ","")))/3)+IF(LEFT(TRIM($AQ49),2)="! ",1,0)</f>
        <v>0</v>
      </c>
      <c r="J49" s="50" t="n">
        <f aca="false">((LEN($AQ49)-LEN(SUBSTITUTE($AQ49,CHAR(10)&amp;"x ","")))/3)+IF(LEFT(TRIM($AQ49),2)="x ",1,0)</f>
        <v>0</v>
      </c>
      <c r="K49" s="50" t="n">
        <f aca="false">SUM(F49:J49)</f>
        <v>0</v>
      </c>
      <c r="L49" s="51" t="n">
        <f aca="false">YEAR(D49)</f>
        <v>1899</v>
      </c>
      <c r="M49" s="51" t="str">
        <f aca="false">VLOOKUP(MONTH(D49),Static!$AJ$3:$AK$16,2,0)</f>
        <v>Dec</v>
      </c>
      <c r="N49" s="51" t="n">
        <f aca="false">WEEKNUM(D49,1)</f>
        <v>52</v>
      </c>
      <c r="O49" s="51" t="str">
        <f aca="false">IFERROR(INDEX(Static!$I$5:$L$15,MATCH(AE49,Static!$I$5:$I$15,0),3),"Z")</f>
        <v>Z</v>
      </c>
      <c r="P49" s="51" t="str">
        <f aca="false">IFERROR(INDEX(Static!$I$5:$L$15,MATCH(AE49,Static!$I$5:$I$15,0),2),"Y")</f>
        <v>Y</v>
      </c>
      <c r="Q49" s="51" t="str">
        <f aca="false">IFERROR(INDEX(Static!$I$5:$L$15,MATCH(AE49,Static!$I$5:$I$15,0),4),"Y")</f>
        <v>Y</v>
      </c>
      <c r="R49" s="51" t="str">
        <f aca="false">IF(AND(AI49&lt;&gt;"",S49="N",$A$1&gt;=AI49-(7*$D$2)),"Y","N")</f>
        <v>N</v>
      </c>
      <c r="S49" s="51" t="str">
        <f aca="false">IF(AND(AI49&lt;&gt;"",$A$1&gt;=AI49),"Y","N")</f>
        <v>N</v>
      </c>
      <c r="T49" s="51" t="str">
        <f aca="false">IF(D49&gt;(($A$1-WEEKDAY($A$1,2))-7*$D$2),"Y","N")</f>
        <v>N</v>
      </c>
      <c r="U49" s="49" t="str">
        <f aca="false">IF(AR49&gt;0,"Y","N")</f>
        <v>N</v>
      </c>
      <c r="V49" s="51" t="str">
        <f aca="false">IF(AND(T49="Y",U49="N"),"Y","N")</f>
        <v>N</v>
      </c>
      <c r="W49" s="52" t="str">
        <f aca="false">IF(OR(R49="Y",AND(U49="Y",S49="Y"), $A$1=AI49),"Y","N")</f>
        <v>N</v>
      </c>
      <c r="X49" s="49" t="str">
        <f aca="false">IF(OR(AC49="Y",AC49="N"),AC49,IF(AND(Q49="Y", OR(T49="Y",V49="Y", W49="Y")),"Y","N"))</f>
        <v>N</v>
      </c>
      <c r="Y49" s="51" t="str">
        <f aca="false">IF(OR(P49="Y", U49="Y",W49="Y"),"Y","N")</f>
        <v>Y</v>
      </c>
      <c r="Z49" s="53" t="str">
        <f aca="false">" -  "&amp;O49&amp;AM49&amp;AN49&amp;AF49</f>
        <v>-  Z</v>
      </c>
      <c r="AA49" s="51" t="str">
        <f aca="false">IFERROR(VLOOKUP(WEEKDAY(AB49),Static!$AL$3:$AM$11,2,0),"")</f>
        <v/>
      </c>
      <c r="AB49" s="49" t="str">
        <f aca="false">IF(AH49&lt;&gt;"",AH49,AV49)</f>
        <v/>
      </c>
      <c r="AC49" s="54"/>
      <c r="AD49" s="54"/>
      <c r="AE49" s="55"/>
      <c r="AF49" s="56"/>
      <c r="AG49" s="56"/>
      <c r="AH49" s="54"/>
      <c r="AI49" s="54"/>
      <c r="AJ49" s="57"/>
      <c r="AK49" s="54"/>
      <c r="AL49" s="54"/>
      <c r="AM49" s="54"/>
      <c r="AN49" s="54"/>
      <c r="AO49" s="56"/>
      <c r="AP49" s="56"/>
      <c r="AQ49" s="58"/>
      <c r="AR49" s="51" t="n">
        <f aca="false">SUM(F49:I49)</f>
        <v>0</v>
      </c>
      <c r="AS49" s="59" t="n">
        <f aca="false">IF(AF49="",1,IF(K49&lt;&gt;0,(G49*0.5+J49)/K49,1))</f>
        <v>1</v>
      </c>
      <c r="AT49" s="60" t="str">
        <f aca="false">IF(AP49="","",IF(ISERROR(FIND(CHAR(10),AP49,1)),AP49,LEFT(AP49,FIND(CHAR(10),AP49,1))))</f>
        <v/>
      </c>
      <c r="AU49" s="61" t="str">
        <f aca="false">IF(AP49="","",IFERROR(RIGHT(AP49,LEN(AP49)-FIND("@@@",SUBSTITUTE(AP49,CHAR(10),"@@@",LEN(AP49)-LEN(SUBSTITUTE(AP49,CHAR(10),""))),1)),AP49))</f>
        <v/>
      </c>
      <c r="AV49" s="62" t="str">
        <f aca="false">IFERROR(DATE(("20"&amp;MID(AT49,7,2))*1,MID(AT49,4,2)*1,MID(AT49,1,2)*1),"")</f>
        <v/>
      </c>
      <c r="AW49" s="62" t="str">
        <f aca="false">IFERROR(DATE(("20"&amp;MID(AU49,7,2))*1,MID(AU49,4,2)*1,MID(AU49,1,2)*1),"")</f>
        <v/>
      </c>
      <c r="AX49" s="56" t="s">
        <v>450</v>
      </c>
    </row>
    <row r="50" customFormat="false" ht="12.75" hidden="false" customHeight="true" outlineLevel="0" collapsed="false">
      <c r="B50" s="49" t="str">
        <f aca="false">IF(AK50="","tbc",AK50)</f>
        <v>tbc</v>
      </c>
      <c r="C50" s="49" t="str">
        <f aca="false">IF(AL50="","VNT",AL50)</f>
        <v>VNT</v>
      </c>
      <c r="D50" s="49" t="n">
        <f aca="false">MAX(AB50,IF(AW50="none",AB50,AW50))</f>
        <v>0</v>
      </c>
      <c r="E50" s="50" t="n">
        <f aca="false">IFERROR(DAYS360(AB50,D50),0)</f>
        <v>0</v>
      </c>
      <c r="F50" s="50" t="n">
        <f aca="false">((LEN($AQ50)-LEN(SUBSTITUTE($AQ50,CHAR(10)&amp;". ","")))/3)+IF(LEFT(TRIM($AQ50),2)=". ",1,0)</f>
        <v>0</v>
      </c>
      <c r="G50" s="50" t="n">
        <f aca="false">((LEN($AQ50)-LEN(SUBSTITUTE($AQ50,CHAR(10)&amp;"/ ","")))/3)+IF(LEFT(TRIM($AQ50),2)="/ ",1,0)</f>
        <v>0</v>
      </c>
      <c r="H50" s="50" t="n">
        <f aca="false">((LEN($AQ50)-LEN(SUBSTITUTE($AQ50,CHAR(10)&amp;"~ ","")))/3)+IF(LEFT(TRIM($AQ50),2)="~ ",1,0)</f>
        <v>0</v>
      </c>
      <c r="I50" s="50" t="n">
        <f aca="false">((LEN($AQ50)-LEN(SUBSTITUTE($AQ50,CHAR(10)&amp;"! ","")))/3)+IF(LEFT(TRIM($AQ50),2)="! ",1,0)</f>
        <v>0</v>
      </c>
      <c r="J50" s="50" t="n">
        <f aca="false">((LEN($AQ50)-LEN(SUBSTITUTE($AQ50,CHAR(10)&amp;"x ","")))/3)+IF(LEFT(TRIM($AQ50),2)="x ",1,0)</f>
        <v>0</v>
      </c>
      <c r="K50" s="50" t="n">
        <f aca="false">SUM(F50:J50)</f>
        <v>0</v>
      </c>
      <c r="L50" s="51" t="n">
        <f aca="false">YEAR(D50)</f>
        <v>1899</v>
      </c>
      <c r="M50" s="51" t="str">
        <f aca="false">VLOOKUP(MONTH(D50),Static!$AJ$3:$AK$16,2,0)</f>
        <v>Dec</v>
      </c>
      <c r="N50" s="51" t="n">
        <f aca="false">WEEKNUM(D50,1)</f>
        <v>52</v>
      </c>
      <c r="O50" s="51" t="str">
        <f aca="false">IFERROR(INDEX(Static!$I$5:$L$15,MATCH(AE50,Static!$I$5:$I$15,0),3),"Z")</f>
        <v>Z</v>
      </c>
      <c r="P50" s="51" t="str">
        <f aca="false">IFERROR(INDEX(Static!$I$5:$L$15,MATCH(AE50,Static!$I$5:$I$15,0),2),"Y")</f>
        <v>Y</v>
      </c>
      <c r="Q50" s="51" t="str">
        <f aca="false">IFERROR(INDEX(Static!$I$5:$L$15,MATCH(AE50,Static!$I$5:$I$15,0),4),"Y")</f>
        <v>Y</v>
      </c>
      <c r="R50" s="51" t="str">
        <f aca="false">IF(AND(AI50&lt;&gt;"",S50="N",$A$1&gt;=AI50-(7*$D$2)),"Y","N")</f>
        <v>N</v>
      </c>
      <c r="S50" s="51" t="str">
        <f aca="false">IF(AND(AI50&lt;&gt;"",$A$1&gt;=AI50),"Y","N")</f>
        <v>N</v>
      </c>
      <c r="T50" s="51" t="str">
        <f aca="false">IF(D50&gt;(($A$1-WEEKDAY($A$1,2))-7*$D$2),"Y","N")</f>
        <v>N</v>
      </c>
      <c r="U50" s="49" t="str">
        <f aca="false">IF(AR50&gt;0,"Y","N")</f>
        <v>N</v>
      </c>
      <c r="V50" s="51" t="str">
        <f aca="false">IF(AND(T50="Y",U50="N"),"Y","N")</f>
        <v>N</v>
      </c>
      <c r="W50" s="52" t="str">
        <f aca="false">IF(OR(R50="Y",AND(U50="Y",S50="Y"), $A$1=AI50),"Y","N")</f>
        <v>N</v>
      </c>
      <c r="X50" s="49" t="str">
        <f aca="false">IF(OR(AC50="Y",AC50="N"),AC50,IF(AND(Q50="Y", OR(T50="Y",V50="Y", W50="Y")),"Y","N"))</f>
        <v>N</v>
      </c>
      <c r="Y50" s="51" t="str">
        <f aca="false">IF(OR(P50="Y", U50="Y",W50="Y"),"Y","N")</f>
        <v>Y</v>
      </c>
      <c r="Z50" s="53" t="str">
        <f aca="false">" -  "&amp;O50&amp;AM50&amp;AN50&amp;AF50</f>
        <v>-  Z</v>
      </c>
      <c r="AA50" s="51" t="str">
        <f aca="false">IFERROR(VLOOKUP(WEEKDAY(AB50),Static!$AL$3:$AM$11,2,0),"")</f>
        <v/>
      </c>
      <c r="AB50" s="49" t="str">
        <f aca="false">IF(AH50&lt;&gt;"",AH50,AV50)</f>
        <v/>
      </c>
      <c r="AC50" s="54"/>
      <c r="AD50" s="54"/>
      <c r="AE50" s="55"/>
      <c r="AF50" s="56"/>
      <c r="AG50" s="56"/>
      <c r="AH50" s="54"/>
      <c r="AI50" s="54"/>
      <c r="AJ50" s="57"/>
      <c r="AK50" s="54"/>
      <c r="AL50" s="54"/>
      <c r="AM50" s="54"/>
      <c r="AN50" s="54"/>
      <c r="AO50" s="56"/>
      <c r="AP50" s="56"/>
      <c r="AQ50" s="56"/>
      <c r="AR50" s="51" t="n">
        <f aca="false">SUM(F50:I50)</f>
        <v>0</v>
      </c>
      <c r="AS50" s="59" t="n">
        <f aca="false">IF(AF50="",1,IF(K50&lt;&gt;0,(G50*0.5+J50)/K50,1))</f>
        <v>1</v>
      </c>
      <c r="AT50" s="60" t="str">
        <f aca="false">IF(AP50="","",IF(ISERROR(FIND(CHAR(10),AP50,1)),AP50,LEFT(AP50,FIND(CHAR(10),AP50,1))))</f>
        <v/>
      </c>
      <c r="AU50" s="61" t="str">
        <f aca="false">IF(AP50="","",IFERROR(RIGHT(AP50,LEN(AP50)-FIND("@@@",SUBSTITUTE(AP50,CHAR(10),"@@@",LEN(AP50)-LEN(SUBSTITUTE(AP50,CHAR(10),""))),1)),AP50))</f>
        <v/>
      </c>
      <c r="AV50" s="62" t="str">
        <f aca="false">IFERROR(DATE(("20"&amp;MID(AT50,7,2))*1,MID(AT50,4,2)*1,MID(AT50,1,2)*1),"")</f>
        <v/>
      </c>
      <c r="AW50" s="62" t="str">
        <f aca="false">IFERROR(DATE(("20"&amp;MID(AU50,7,2))*1,MID(AU50,4,2)*1,MID(AU50,1,2)*1),"")</f>
        <v/>
      </c>
      <c r="AX50" s="56" t="s">
        <v>450</v>
      </c>
    </row>
    <row r="51" customFormat="false" ht="12.75" hidden="false" customHeight="true" outlineLevel="0" collapsed="false">
      <c r="B51" s="49" t="str">
        <f aca="false">IF(AK51="","tbc",AK51)</f>
        <v>tbc</v>
      </c>
      <c r="C51" s="49" t="str">
        <f aca="false">IF(AL51="","VNT",AL51)</f>
        <v>VNT</v>
      </c>
      <c r="D51" s="49" t="n">
        <f aca="false">MAX(AB51,IF(AW51="none",AB51,AW51))</f>
        <v>0</v>
      </c>
      <c r="E51" s="50" t="n">
        <f aca="false">IFERROR(DAYS360(AB51,D51),0)</f>
        <v>0</v>
      </c>
      <c r="F51" s="50" t="n">
        <f aca="false">((LEN($AQ51)-LEN(SUBSTITUTE($AQ51,CHAR(10)&amp;". ","")))/3)+IF(LEFT(TRIM($AQ51),2)=". ",1,0)</f>
        <v>0</v>
      </c>
      <c r="G51" s="50" t="n">
        <f aca="false">((LEN($AQ51)-LEN(SUBSTITUTE($AQ51,CHAR(10)&amp;"/ ","")))/3)+IF(LEFT(TRIM($AQ51),2)="/ ",1,0)</f>
        <v>0</v>
      </c>
      <c r="H51" s="50" t="n">
        <f aca="false">((LEN($AQ51)-LEN(SUBSTITUTE($AQ51,CHAR(10)&amp;"~ ","")))/3)+IF(LEFT(TRIM($AQ51),2)="~ ",1,0)</f>
        <v>0</v>
      </c>
      <c r="I51" s="50" t="n">
        <f aca="false">((LEN($AQ51)-LEN(SUBSTITUTE($AQ51,CHAR(10)&amp;"! ","")))/3)+IF(LEFT(TRIM($AQ51),2)="! ",1,0)</f>
        <v>0</v>
      </c>
      <c r="J51" s="50" t="n">
        <f aca="false">((LEN($AQ51)-LEN(SUBSTITUTE($AQ51,CHAR(10)&amp;"x ","")))/3)+IF(LEFT(TRIM($AQ51),2)="x ",1,0)</f>
        <v>0</v>
      </c>
      <c r="K51" s="50" t="n">
        <f aca="false">SUM(F51:J51)</f>
        <v>0</v>
      </c>
      <c r="L51" s="51" t="n">
        <f aca="false">YEAR(D51)</f>
        <v>1899</v>
      </c>
      <c r="M51" s="51" t="str">
        <f aca="false">VLOOKUP(MONTH(D51),Static!$AJ$3:$AK$16,2,0)</f>
        <v>Dec</v>
      </c>
      <c r="N51" s="51" t="n">
        <f aca="false">WEEKNUM(D51,1)</f>
        <v>52</v>
      </c>
      <c r="O51" s="51" t="str">
        <f aca="false">IFERROR(INDEX(Static!$I$5:$L$15,MATCH(AE51,Static!$I$5:$I$15,0),3),"Z")</f>
        <v>Z</v>
      </c>
      <c r="P51" s="51" t="str">
        <f aca="false">IFERROR(INDEX(Static!$I$5:$L$15,MATCH(AE51,Static!$I$5:$I$15,0),2),"Y")</f>
        <v>Y</v>
      </c>
      <c r="Q51" s="51" t="str">
        <f aca="false">IFERROR(INDEX(Static!$I$5:$L$15,MATCH(AE51,Static!$I$5:$I$15,0),4),"Y")</f>
        <v>Y</v>
      </c>
      <c r="R51" s="51" t="str">
        <f aca="false">IF(AND(AI51&lt;&gt;"",S51="N",$A$1&gt;=AI51-(7*$D$2)),"Y","N")</f>
        <v>N</v>
      </c>
      <c r="S51" s="51" t="str">
        <f aca="false">IF(AND(AI51&lt;&gt;"",$A$1&gt;=AI51),"Y","N")</f>
        <v>N</v>
      </c>
      <c r="T51" s="51" t="str">
        <f aca="false">IF(D51&gt;(($A$1-WEEKDAY($A$1,2))-7*$D$2),"Y","N")</f>
        <v>N</v>
      </c>
      <c r="U51" s="49" t="str">
        <f aca="false">IF(AR51&gt;0,"Y","N")</f>
        <v>N</v>
      </c>
      <c r="V51" s="51" t="str">
        <f aca="false">IF(AND(T51="Y",U51="N"),"Y","N")</f>
        <v>N</v>
      </c>
      <c r="W51" s="52" t="str">
        <f aca="false">IF(OR(R51="Y",AND(U51="Y",S51="Y"), $A$1=AI51),"Y","N")</f>
        <v>N</v>
      </c>
      <c r="X51" s="49" t="str">
        <f aca="false">IF(OR(AC51="Y",AC51="N"),AC51,IF(AND(Q51="Y", OR(T51="Y",V51="Y", W51="Y")),"Y","N"))</f>
        <v>N</v>
      </c>
      <c r="Y51" s="51" t="str">
        <f aca="false">IF(OR(P51="Y", U51="Y",W51="Y"),"Y","N")</f>
        <v>Y</v>
      </c>
      <c r="Z51" s="53" t="str">
        <f aca="false">" -  "&amp;O51&amp;AM51&amp;AN51&amp;AF51</f>
        <v>-  Z</v>
      </c>
      <c r="AA51" s="51" t="str">
        <f aca="false">IFERROR(VLOOKUP(WEEKDAY(AB51),Static!$AL$3:$AM$11,2,0),"")</f>
        <v/>
      </c>
      <c r="AB51" s="49" t="str">
        <f aca="false">IF(AH51&lt;&gt;"",AH51,AV51)</f>
        <v/>
      </c>
      <c r="AC51" s="54"/>
      <c r="AD51" s="54"/>
      <c r="AE51" s="55"/>
      <c r="AF51" s="56"/>
      <c r="AG51" s="56"/>
      <c r="AH51" s="54"/>
      <c r="AI51" s="54"/>
      <c r="AJ51" s="57"/>
      <c r="AK51" s="54"/>
      <c r="AL51" s="54"/>
      <c r="AM51" s="54"/>
      <c r="AN51" s="54"/>
      <c r="AO51" s="56"/>
      <c r="AP51" s="56"/>
      <c r="AQ51" s="58"/>
      <c r="AR51" s="51" t="n">
        <f aca="false">SUM(F51:I51)</f>
        <v>0</v>
      </c>
      <c r="AS51" s="59" t="n">
        <f aca="false">IF(AF51="",1,IF(K51&lt;&gt;0,(G51*0.5+J51)/K51,1))</f>
        <v>1</v>
      </c>
      <c r="AT51" s="60" t="str">
        <f aca="false">IF(AP51="","",IF(ISERROR(FIND(CHAR(10),AP51,1)),AP51,LEFT(AP51,FIND(CHAR(10),AP51,1))))</f>
        <v/>
      </c>
      <c r="AU51" s="61" t="str">
        <f aca="false">IF(AP51="","",IFERROR(RIGHT(AP51,LEN(AP51)-FIND("@@@",SUBSTITUTE(AP51,CHAR(10),"@@@",LEN(AP51)-LEN(SUBSTITUTE(AP51,CHAR(10),""))),1)),AP51))</f>
        <v/>
      </c>
      <c r="AV51" s="62" t="str">
        <f aca="false">IFERROR(DATE(("20"&amp;MID(AT51,7,2))*1,MID(AT51,4,2)*1,MID(AT51,1,2)*1),"")</f>
        <v/>
      </c>
      <c r="AW51" s="62" t="str">
        <f aca="false">IFERROR(DATE(("20"&amp;MID(AU51,7,2))*1,MID(AU51,4,2)*1,MID(AU51,1,2)*1),"")</f>
        <v/>
      </c>
      <c r="AX51" s="56" t="s">
        <v>450</v>
      </c>
    </row>
    <row r="52" customFormat="false" ht="12.75" hidden="false" customHeight="true" outlineLevel="0" collapsed="false">
      <c r="B52" s="49" t="str">
        <f aca="false">IF(AK52="","tbc",AK52)</f>
        <v>tbc</v>
      </c>
      <c r="C52" s="49" t="str">
        <f aca="false">IF(AL52="","VNT",AL52)</f>
        <v>VNT</v>
      </c>
      <c r="D52" s="49" t="n">
        <f aca="false">MAX(AB52,IF(AW52="none",AB52,AW52))</f>
        <v>0</v>
      </c>
      <c r="E52" s="50" t="n">
        <f aca="false">IFERROR(DAYS360(AB52,D52),0)</f>
        <v>0</v>
      </c>
      <c r="F52" s="50" t="n">
        <f aca="false">((LEN($AQ52)-LEN(SUBSTITUTE($AQ52,CHAR(10)&amp;". ","")))/3)+IF(LEFT(TRIM($AQ52),2)=". ",1,0)</f>
        <v>0</v>
      </c>
      <c r="G52" s="50" t="n">
        <f aca="false">((LEN($AQ52)-LEN(SUBSTITUTE($AQ52,CHAR(10)&amp;"/ ","")))/3)+IF(LEFT(TRIM($AQ52),2)="/ ",1,0)</f>
        <v>0</v>
      </c>
      <c r="H52" s="50" t="n">
        <f aca="false">((LEN($AQ52)-LEN(SUBSTITUTE($AQ52,CHAR(10)&amp;"~ ","")))/3)+IF(LEFT(TRIM($AQ52),2)="~ ",1,0)</f>
        <v>0</v>
      </c>
      <c r="I52" s="50" t="n">
        <f aca="false">((LEN($AQ52)-LEN(SUBSTITUTE($AQ52,CHAR(10)&amp;"! ","")))/3)+IF(LEFT(TRIM($AQ52),2)="! ",1,0)</f>
        <v>0</v>
      </c>
      <c r="J52" s="50" t="n">
        <f aca="false">((LEN($AQ52)-LEN(SUBSTITUTE($AQ52,CHAR(10)&amp;"x ","")))/3)+IF(LEFT(TRIM($AQ52),2)="x ",1,0)</f>
        <v>0</v>
      </c>
      <c r="K52" s="50" t="n">
        <f aca="false">SUM(F52:J52)</f>
        <v>0</v>
      </c>
      <c r="L52" s="51" t="n">
        <f aca="false">YEAR(D52)</f>
        <v>1899</v>
      </c>
      <c r="M52" s="51" t="str">
        <f aca="false">VLOOKUP(MONTH(D52),Static!$AJ$3:$AK$16,2,0)</f>
        <v>Dec</v>
      </c>
      <c r="N52" s="51" t="n">
        <f aca="false">WEEKNUM(D52,1)</f>
        <v>52</v>
      </c>
      <c r="O52" s="51" t="str">
        <f aca="false">IFERROR(INDEX(Static!$I$5:$L$15,MATCH(AE52,Static!$I$5:$I$15,0),3),"Z")</f>
        <v>Z</v>
      </c>
      <c r="P52" s="51" t="str">
        <f aca="false">IFERROR(INDEX(Static!$I$5:$L$15,MATCH(AE52,Static!$I$5:$I$15,0),2),"Y")</f>
        <v>Y</v>
      </c>
      <c r="Q52" s="51" t="str">
        <f aca="false">IFERROR(INDEX(Static!$I$5:$L$15,MATCH(AE52,Static!$I$5:$I$15,0),4),"Y")</f>
        <v>Y</v>
      </c>
      <c r="R52" s="51" t="str">
        <f aca="false">IF(AND(AI52&lt;&gt;"",S52="N",$A$1&gt;=AI52-(7*$D$2)),"Y","N")</f>
        <v>N</v>
      </c>
      <c r="S52" s="51" t="str">
        <f aca="false">IF(AND(AI52&lt;&gt;"",$A$1&gt;=AI52),"Y","N")</f>
        <v>N</v>
      </c>
      <c r="T52" s="51" t="str">
        <f aca="false">IF(D52&gt;(($A$1-WEEKDAY($A$1,2))-7*$D$2),"Y","N")</f>
        <v>N</v>
      </c>
      <c r="U52" s="49" t="str">
        <f aca="false">IF(AR52&gt;0,"Y","N")</f>
        <v>N</v>
      </c>
      <c r="V52" s="51" t="str">
        <f aca="false">IF(AND(T52="Y",U52="N"),"Y","N")</f>
        <v>N</v>
      </c>
      <c r="W52" s="52" t="str">
        <f aca="false">IF(OR(R52="Y",AND(U52="Y",S52="Y"), $A$1=AI52),"Y","N")</f>
        <v>N</v>
      </c>
      <c r="X52" s="49" t="str">
        <f aca="false">IF(OR(AC52="Y",AC52="N"),AC52,IF(AND(Q52="Y", OR(T52="Y",V52="Y", W52="Y")),"Y","N"))</f>
        <v>N</v>
      </c>
      <c r="Y52" s="51" t="str">
        <f aca="false">IF(OR(P52="Y", U52="Y",W52="Y"),"Y","N")</f>
        <v>Y</v>
      </c>
      <c r="Z52" s="53" t="str">
        <f aca="false">" -  "&amp;O52&amp;AM52&amp;AN52&amp;AF52</f>
        <v>-  Z</v>
      </c>
      <c r="AA52" s="51" t="str">
        <f aca="false">IFERROR(VLOOKUP(WEEKDAY(AB52),Static!$AL$3:$AM$11,2,0),"")</f>
        <v/>
      </c>
      <c r="AB52" s="49" t="str">
        <f aca="false">IF(AH52&lt;&gt;"",AH52,AV52)</f>
        <v/>
      </c>
      <c r="AC52" s="54"/>
      <c r="AD52" s="54"/>
      <c r="AE52" s="55"/>
      <c r="AF52" s="56"/>
      <c r="AG52" s="56"/>
      <c r="AH52" s="54"/>
      <c r="AI52" s="54"/>
      <c r="AJ52" s="57"/>
      <c r="AK52" s="54"/>
      <c r="AL52" s="54"/>
      <c r="AM52" s="54"/>
      <c r="AN52" s="54"/>
      <c r="AO52" s="56"/>
      <c r="AP52" s="56"/>
      <c r="AQ52" s="58"/>
      <c r="AR52" s="51" t="n">
        <f aca="false">SUM(F52:I52)</f>
        <v>0</v>
      </c>
      <c r="AS52" s="59" t="n">
        <f aca="false">IF(AF52="",1,IF(K52&lt;&gt;0,(G52*0.5+J52)/K52,1))</f>
        <v>1</v>
      </c>
      <c r="AT52" s="60" t="str">
        <f aca="false">IF(AP52="","",IF(ISERROR(FIND(CHAR(10),AP52,1)),AP52,LEFT(AP52,FIND(CHAR(10),AP52,1))))</f>
        <v/>
      </c>
      <c r="AU52" s="61" t="str">
        <f aca="false">IF(AP52="","",IFERROR(RIGHT(AP52,LEN(AP52)-FIND("@@@",SUBSTITUTE(AP52,CHAR(10),"@@@",LEN(AP52)-LEN(SUBSTITUTE(AP52,CHAR(10),""))),1)),AP52))</f>
        <v/>
      </c>
      <c r="AV52" s="62" t="str">
        <f aca="false">IFERROR(DATE(("20"&amp;MID(AT52,7,2))*1,MID(AT52,4,2)*1,MID(AT52,1,2)*1),"")</f>
        <v/>
      </c>
      <c r="AW52" s="62" t="str">
        <f aca="false">IFERROR(DATE(("20"&amp;MID(AU52,7,2))*1,MID(AU52,4,2)*1,MID(AU52,1,2)*1),"")</f>
        <v/>
      </c>
      <c r="AX52" s="56" t="s">
        <v>450</v>
      </c>
    </row>
    <row r="53" customFormat="false" ht="12.75" hidden="false" customHeight="true" outlineLevel="0" collapsed="false">
      <c r="B53" s="49" t="str">
        <f aca="false">IF(AK53="","tbc",AK53)</f>
        <v>tbc</v>
      </c>
      <c r="C53" s="49" t="str">
        <f aca="false">IF(AL53="","VNT",AL53)</f>
        <v>VNT</v>
      </c>
      <c r="D53" s="49" t="n">
        <f aca="false">MAX(AB53,IF(AW53="none",AB53,AW53))</f>
        <v>0</v>
      </c>
      <c r="E53" s="50" t="n">
        <f aca="false">IFERROR(DAYS360(AB53,D53),0)</f>
        <v>0</v>
      </c>
      <c r="F53" s="50" t="n">
        <f aca="false">((LEN($AQ53)-LEN(SUBSTITUTE($AQ53,CHAR(10)&amp;". ","")))/3)+IF(LEFT(TRIM($AQ53),2)=". ",1,0)</f>
        <v>0</v>
      </c>
      <c r="G53" s="50" t="n">
        <f aca="false">((LEN($AQ53)-LEN(SUBSTITUTE($AQ53,CHAR(10)&amp;"/ ","")))/3)+IF(LEFT(TRIM($AQ53),2)="/ ",1,0)</f>
        <v>0</v>
      </c>
      <c r="H53" s="50" t="n">
        <f aca="false">((LEN($AQ53)-LEN(SUBSTITUTE($AQ53,CHAR(10)&amp;"~ ","")))/3)+IF(LEFT(TRIM($AQ53),2)="~ ",1,0)</f>
        <v>0</v>
      </c>
      <c r="I53" s="50" t="n">
        <f aca="false">((LEN($AQ53)-LEN(SUBSTITUTE($AQ53,CHAR(10)&amp;"! ","")))/3)+IF(LEFT(TRIM($AQ53),2)="! ",1,0)</f>
        <v>0</v>
      </c>
      <c r="J53" s="50" t="n">
        <f aca="false">((LEN($AQ53)-LEN(SUBSTITUTE($AQ53,CHAR(10)&amp;"x ","")))/3)+IF(LEFT(TRIM($AQ53),2)="x ",1,0)</f>
        <v>0</v>
      </c>
      <c r="K53" s="50" t="n">
        <f aca="false">SUM(F53:J53)</f>
        <v>0</v>
      </c>
      <c r="L53" s="51" t="n">
        <f aca="false">YEAR(D53)</f>
        <v>1899</v>
      </c>
      <c r="M53" s="51" t="str">
        <f aca="false">VLOOKUP(MONTH(D53),Static!$AJ$3:$AK$16,2,0)</f>
        <v>Dec</v>
      </c>
      <c r="N53" s="51" t="n">
        <f aca="false">WEEKNUM(D53,1)</f>
        <v>52</v>
      </c>
      <c r="O53" s="51" t="str">
        <f aca="false">IFERROR(INDEX(Static!$I$5:$L$15,MATCH(AE53,Static!$I$5:$I$15,0),3),"Z")</f>
        <v>Z</v>
      </c>
      <c r="P53" s="51" t="str">
        <f aca="false">IFERROR(INDEX(Static!$I$5:$L$15,MATCH(AE53,Static!$I$5:$I$15,0),2),"Y")</f>
        <v>Y</v>
      </c>
      <c r="Q53" s="51" t="str">
        <f aca="false">IFERROR(INDEX(Static!$I$5:$L$15,MATCH(AE53,Static!$I$5:$I$15,0),4),"Y")</f>
        <v>Y</v>
      </c>
      <c r="R53" s="51" t="str">
        <f aca="false">IF(AND(AI53&lt;&gt;"",S53="N",$A$1&gt;=AI53-(7*$D$2)),"Y","N")</f>
        <v>N</v>
      </c>
      <c r="S53" s="51" t="str">
        <f aca="false">IF(AND(AI53&lt;&gt;"",$A$1&gt;=AI53),"Y","N")</f>
        <v>N</v>
      </c>
      <c r="T53" s="51" t="str">
        <f aca="false">IF(D53&gt;(($A$1-WEEKDAY($A$1,2))-7*$D$2),"Y","N")</f>
        <v>N</v>
      </c>
      <c r="U53" s="49" t="str">
        <f aca="false">IF(AR53&gt;0,"Y","N")</f>
        <v>N</v>
      </c>
      <c r="V53" s="51" t="str">
        <f aca="false">IF(AND(T53="Y",U53="N"),"Y","N")</f>
        <v>N</v>
      </c>
      <c r="W53" s="52" t="str">
        <f aca="false">IF(OR(R53="Y",AND(U53="Y",S53="Y"), $A$1=AI53),"Y","N")</f>
        <v>N</v>
      </c>
      <c r="X53" s="49" t="str">
        <f aca="false">IF(OR(AC53="Y",AC53="N"),AC53,IF(AND(Q53="Y", OR(T53="Y",V53="Y", W53="Y")),"Y","N"))</f>
        <v>N</v>
      </c>
      <c r="Y53" s="51" t="str">
        <f aca="false">IF(OR(P53="Y", U53="Y",W53="Y"),"Y","N")</f>
        <v>Y</v>
      </c>
      <c r="Z53" s="53" t="str">
        <f aca="false">" -  "&amp;O53&amp;AM53&amp;AN53&amp;AF53</f>
        <v>-  Z</v>
      </c>
      <c r="AA53" s="51" t="str">
        <f aca="false">IFERROR(VLOOKUP(WEEKDAY(AB53),Static!$AL$3:$AM$11,2,0),"")</f>
        <v/>
      </c>
      <c r="AB53" s="49" t="str">
        <f aca="false">IF(AH53&lt;&gt;"",AH53,AV53)</f>
        <v/>
      </c>
      <c r="AC53" s="54"/>
      <c r="AD53" s="54"/>
      <c r="AE53" s="55"/>
      <c r="AF53" s="56"/>
      <c r="AG53" s="56"/>
      <c r="AH53" s="54"/>
      <c r="AI53" s="54"/>
      <c r="AJ53" s="57"/>
      <c r="AK53" s="54"/>
      <c r="AL53" s="54"/>
      <c r="AM53" s="54"/>
      <c r="AN53" s="54"/>
      <c r="AO53" s="56"/>
      <c r="AP53" s="56"/>
      <c r="AQ53" s="56"/>
      <c r="AR53" s="51" t="n">
        <f aca="false">SUM(F53:I53)</f>
        <v>0</v>
      </c>
      <c r="AS53" s="59" t="n">
        <f aca="false">IF(AF53="",1,IF(K53&lt;&gt;0,(G53*0.5+J53)/K53,1))</f>
        <v>1</v>
      </c>
      <c r="AT53" s="60" t="str">
        <f aca="false">IF(AP53="","",IF(ISERROR(FIND(CHAR(10),AP53,1)),AP53,LEFT(AP53,FIND(CHAR(10),AP53,1))))</f>
        <v/>
      </c>
      <c r="AU53" s="61" t="str">
        <f aca="false">IF(AP53="","",IFERROR(RIGHT(AP53,LEN(AP53)-FIND("@@@",SUBSTITUTE(AP53,CHAR(10),"@@@",LEN(AP53)-LEN(SUBSTITUTE(AP53,CHAR(10),""))),1)),AP53))</f>
        <v/>
      </c>
      <c r="AV53" s="62" t="str">
        <f aca="false">IFERROR(DATE(("20"&amp;MID(AT53,7,2))*1,MID(AT53,4,2)*1,MID(AT53,1,2)*1),"")</f>
        <v/>
      </c>
      <c r="AW53" s="62" t="str">
        <f aca="false">IFERROR(DATE(("20"&amp;MID(AU53,7,2))*1,MID(AU53,4,2)*1,MID(AU53,1,2)*1),"")</f>
        <v/>
      </c>
      <c r="AX53" s="56" t="s">
        <v>450</v>
      </c>
    </row>
    <row r="54" customFormat="false" ht="12.75" hidden="false" customHeight="true" outlineLevel="0" collapsed="false">
      <c r="B54" s="49" t="str">
        <f aca="false">IF(AK54="","tbc",AK54)</f>
        <v>tbc</v>
      </c>
      <c r="C54" s="49" t="str">
        <f aca="false">IF(AL54="","VNT",AL54)</f>
        <v>VNT</v>
      </c>
      <c r="D54" s="49" t="n">
        <f aca="false">MAX(AB54,IF(AW54="none",AB54,AW54))</f>
        <v>0</v>
      </c>
      <c r="E54" s="50" t="n">
        <f aca="false">IFERROR(DAYS360(AB54,D54),0)</f>
        <v>0</v>
      </c>
      <c r="F54" s="50" t="n">
        <f aca="false">((LEN($AQ54)-LEN(SUBSTITUTE($AQ54,CHAR(10)&amp;". ","")))/3)+IF(LEFT(TRIM($AQ54),2)=". ",1,0)</f>
        <v>0</v>
      </c>
      <c r="G54" s="50" t="n">
        <f aca="false">((LEN($AQ54)-LEN(SUBSTITUTE($AQ54,CHAR(10)&amp;"/ ","")))/3)+IF(LEFT(TRIM($AQ54),2)="/ ",1,0)</f>
        <v>0</v>
      </c>
      <c r="H54" s="50" t="n">
        <f aca="false">((LEN($AQ54)-LEN(SUBSTITUTE($AQ54,CHAR(10)&amp;"~ ","")))/3)+IF(LEFT(TRIM($AQ54),2)="~ ",1,0)</f>
        <v>0</v>
      </c>
      <c r="I54" s="50" t="n">
        <f aca="false">((LEN($AQ54)-LEN(SUBSTITUTE($AQ54,CHAR(10)&amp;"! ","")))/3)+IF(LEFT(TRIM($AQ54),2)="! ",1,0)</f>
        <v>0</v>
      </c>
      <c r="J54" s="50" t="n">
        <f aca="false">((LEN($AQ54)-LEN(SUBSTITUTE($AQ54,CHAR(10)&amp;"x ","")))/3)+IF(LEFT(TRIM($AQ54),2)="x ",1,0)</f>
        <v>0</v>
      </c>
      <c r="K54" s="50" t="n">
        <f aca="false">SUM(F54:J54)</f>
        <v>0</v>
      </c>
      <c r="L54" s="51" t="n">
        <f aca="false">YEAR(D54)</f>
        <v>1899</v>
      </c>
      <c r="M54" s="51" t="str">
        <f aca="false">VLOOKUP(MONTH(D54),Static!$AJ$3:$AK$16,2,0)</f>
        <v>Dec</v>
      </c>
      <c r="N54" s="51" t="n">
        <f aca="false">WEEKNUM(D54,1)</f>
        <v>52</v>
      </c>
      <c r="O54" s="51" t="str">
        <f aca="false">IFERROR(INDEX(Static!$I$5:$L$15,MATCH(AE54,Static!$I$5:$I$15,0),3),"Z")</f>
        <v>Z</v>
      </c>
      <c r="P54" s="51" t="str">
        <f aca="false">IFERROR(INDEX(Static!$I$5:$L$15,MATCH(AE54,Static!$I$5:$I$15,0),2),"Y")</f>
        <v>Y</v>
      </c>
      <c r="Q54" s="51" t="str">
        <f aca="false">IFERROR(INDEX(Static!$I$5:$L$15,MATCH(AE54,Static!$I$5:$I$15,0),4),"Y")</f>
        <v>Y</v>
      </c>
      <c r="R54" s="51" t="str">
        <f aca="false">IF(AND(AI54&lt;&gt;"",S54="N",$A$1&gt;=AI54-(7*$D$2)),"Y","N")</f>
        <v>N</v>
      </c>
      <c r="S54" s="51" t="str">
        <f aca="false">IF(AND(AI54&lt;&gt;"",$A$1&gt;=AI54),"Y","N")</f>
        <v>N</v>
      </c>
      <c r="T54" s="51" t="str">
        <f aca="false">IF(D54&gt;(($A$1-WEEKDAY($A$1,2))-7*$D$2),"Y","N")</f>
        <v>N</v>
      </c>
      <c r="U54" s="49" t="str">
        <f aca="false">IF(AR54&gt;0,"Y","N")</f>
        <v>N</v>
      </c>
      <c r="V54" s="51" t="str">
        <f aca="false">IF(AND(T54="Y",U54="N"),"Y","N")</f>
        <v>N</v>
      </c>
      <c r="W54" s="52" t="str">
        <f aca="false">IF(OR(R54="Y",AND(U54="Y",S54="Y"), $A$1=AI54),"Y","N")</f>
        <v>N</v>
      </c>
      <c r="X54" s="49" t="str">
        <f aca="false">IF(OR(AC54="Y",AC54="N"),AC54,IF(AND(Q54="Y", OR(T54="Y",V54="Y", W54="Y")),"Y","N"))</f>
        <v>N</v>
      </c>
      <c r="Y54" s="51" t="str">
        <f aca="false">IF(OR(P54="Y", U54="Y",W54="Y"),"Y","N")</f>
        <v>Y</v>
      </c>
      <c r="Z54" s="53" t="str">
        <f aca="false">" -  "&amp;O54&amp;AM54&amp;AN54&amp;AF54</f>
        <v>-  Z</v>
      </c>
      <c r="AA54" s="51" t="str">
        <f aca="false">IFERROR(VLOOKUP(WEEKDAY(AB54),Static!$AL$3:$AM$11,2,0),"")</f>
        <v/>
      </c>
      <c r="AB54" s="49" t="str">
        <f aca="false">IF(AH54&lt;&gt;"",AH54,AV54)</f>
        <v/>
      </c>
      <c r="AC54" s="54"/>
      <c r="AD54" s="54"/>
      <c r="AE54" s="55"/>
      <c r="AF54" s="56"/>
      <c r="AG54" s="56"/>
      <c r="AH54" s="54"/>
      <c r="AI54" s="54"/>
      <c r="AJ54" s="57"/>
      <c r="AK54" s="54"/>
      <c r="AL54" s="54"/>
      <c r="AM54" s="54"/>
      <c r="AN54" s="54"/>
      <c r="AO54" s="56"/>
      <c r="AP54" s="56"/>
      <c r="AQ54" s="58"/>
      <c r="AR54" s="51" t="n">
        <f aca="false">SUM(F54:I54)</f>
        <v>0</v>
      </c>
      <c r="AS54" s="59" t="n">
        <f aca="false">IF(AF54="",1,IF(K54&lt;&gt;0,(G54*0.5+J54)/K54,1))</f>
        <v>1</v>
      </c>
      <c r="AT54" s="60" t="str">
        <f aca="false">IF(AP54="","",IF(ISERROR(FIND(CHAR(10),AP54,1)),AP54,LEFT(AP54,FIND(CHAR(10),AP54,1))))</f>
        <v/>
      </c>
      <c r="AU54" s="61" t="str">
        <f aca="false">IF(AP54="","",IFERROR(RIGHT(AP54,LEN(AP54)-FIND("@@@",SUBSTITUTE(AP54,CHAR(10),"@@@",LEN(AP54)-LEN(SUBSTITUTE(AP54,CHAR(10),""))),1)),AP54))</f>
        <v/>
      </c>
      <c r="AV54" s="62" t="str">
        <f aca="false">IFERROR(DATE(("20"&amp;MID(AT54,7,2))*1,MID(AT54,4,2)*1,MID(AT54,1,2)*1),"")</f>
        <v/>
      </c>
      <c r="AW54" s="62" t="str">
        <f aca="false">IFERROR(DATE(("20"&amp;MID(AU54,7,2))*1,MID(AU54,4,2)*1,MID(AU54,1,2)*1),"")</f>
        <v/>
      </c>
      <c r="AX54" s="56" t="s">
        <v>450</v>
      </c>
    </row>
    <row r="55" customFormat="false" ht="12.75" hidden="false" customHeight="true" outlineLevel="0" collapsed="false">
      <c r="B55" s="49" t="str">
        <f aca="false">IF(AK55="","tbc",AK55)</f>
        <v>tbc</v>
      </c>
      <c r="C55" s="49" t="str">
        <f aca="false">IF(AL55="","VNT",AL55)</f>
        <v>VNT</v>
      </c>
      <c r="D55" s="49" t="n">
        <f aca="false">MAX(AB55,IF(AW55="none",AB55,AW55))</f>
        <v>0</v>
      </c>
      <c r="E55" s="50" t="n">
        <f aca="false">IFERROR(DAYS360(AB55,D55),0)</f>
        <v>0</v>
      </c>
      <c r="F55" s="50" t="n">
        <f aca="false">((LEN($AQ55)-LEN(SUBSTITUTE($AQ55,CHAR(10)&amp;". ","")))/3)+IF(LEFT(TRIM($AQ55),2)=". ",1,0)</f>
        <v>0</v>
      </c>
      <c r="G55" s="50" t="n">
        <f aca="false">((LEN($AQ55)-LEN(SUBSTITUTE($AQ55,CHAR(10)&amp;"/ ","")))/3)+IF(LEFT(TRIM($AQ55),2)="/ ",1,0)</f>
        <v>0</v>
      </c>
      <c r="H55" s="50" t="n">
        <f aca="false">((LEN($AQ55)-LEN(SUBSTITUTE($AQ55,CHAR(10)&amp;"~ ","")))/3)+IF(LEFT(TRIM($AQ55),2)="~ ",1,0)</f>
        <v>0</v>
      </c>
      <c r="I55" s="50" t="n">
        <f aca="false">((LEN($AQ55)-LEN(SUBSTITUTE($AQ55,CHAR(10)&amp;"! ","")))/3)+IF(LEFT(TRIM($AQ55),2)="! ",1,0)</f>
        <v>0</v>
      </c>
      <c r="J55" s="50" t="n">
        <f aca="false">((LEN($AQ55)-LEN(SUBSTITUTE($AQ55,CHAR(10)&amp;"x ","")))/3)+IF(LEFT(TRIM($AQ55),2)="x ",1,0)</f>
        <v>0</v>
      </c>
      <c r="K55" s="50" t="n">
        <f aca="false">SUM(F55:J55)</f>
        <v>0</v>
      </c>
      <c r="L55" s="51" t="n">
        <f aca="false">YEAR(D55)</f>
        <v>1899</v>
      </c>
      <c r="M55" s="51" t="str">
        <f aca="false">VLOOKUP(MONTH(D55),Static!$AJ$3:$AK$16,2,0)</f>
        <v>Dec</v>
      </c>
      <c r="N55" s="51" t="n">
        <f aca="false">WEEKNUM(D55,1)</f>
        <v>52</v>
      </c>
      <c r="O55" s="51" t="str">
        <f aca="false">IFERROR(INDEX(Static!$I$5:$L$15,MATCH(AE55,Static!$I$5:$I$15,0),3),"Z")</f>
        <v>Z</v>
      </c>
      <c r="P55" s="51" t="str">
        <f aca="false">IFERROR(INDEX(Static!$I$5:$L$15,MATCH(AE55,Static!$I$5:$I$15,0),2),"Y")</f>
        <v>Y</v>
      </c>
      <c r="Q55" s="51" t="str">
        <f aca="false">IFERROR(INDEX(Static!$I$5:$L$15,MATCH(AE55,Static!$I$5:$I$15,0),4),"Y")</f>
        <v>Y</v>
      </c>
      <c r="R55" s="51" t="str">
        <f aca="false">IF(AND(AI55&lt;&gt;"",S55="N",$A$1&gt;=AI55-(7*$D$2)),"Y","N")</f>
        <v>N</v>
      </c>
      <c r="S55" s="51" t="str">
        <f aca="false">IF(AND(AI55&lt;&gt;"",$A$1&gt;=AI55),"Y","N")</f>
        <v>N</v>
      </c>
      <c r="T55" s="51" t="str">
        <f aca="false">IF(D55&gt;(($A$1-WEEKDAY($A$1,2))-7*$D$2),"Y","N")</f>
        <v>N</v>
      </c>
      <c r="U55" s="49" t="str">
        <f aca="false">IF(AR55&gt;0,"Y","N")</f>
        <v>N</v>
      </c>
      <c r="V55" s="51" t="str">
        <f aca="false">IF(AND(T55="Y",U55="N"),"Y","N")</f>
        <v>N</v>
      </c>
      <c r="W55" s="52" t="str">
        <f aca="false">IF(OR(R55="Y",AND(U55="Y",S55="Y"), $A$1=AI55),"Y","N")</f>
        <v>N</v>
      </c>
      <c r="X55" s="49" t="str">
        <f aca="false">IF(OR(AC55="Y",AC55="N"),AC55,IF(AND(Q55="Y", OR(T55="Y",V55="Y", W55="Y")),"Y","N"))</f>
        <v>N</v>
      </c>
      <c r="Y55" s="51" t="str">
        <f aca="false">IF(OR(P55="Y", U55="Y",W55="Y"),"Y","N")</f>
        <v>Y</v>
      </c>
      <c r="Z55" s="53" t="str">
        <f aca="false">" -  "&amp;O55&amp;AM55&amp;AN55&amp;AF55</f>
        <v>-  Z</v>
      </c>
      <c r="AA55" s="51" t="str">
        <f aca="false">IFERROR(VLOOKUP(WEEKDAY(AB55),Static!$AL$3:$AM$11,2,0),"")</f>
        <v/>
      </c>
      <c r="AB55" s="49" t="str">
        <f aca="false">IF(AH55&lt;&gt;"",AH55,AV55)</f>
        <v/>
      </c>
      <c r="AC55" s="54"/>
      <c r="AD55" s="54"/>
      <c r="AE55" s="55"/>
      <c r="AF55" s="56"/>
      <c r="AG55" s="56"/>
      <c r="AH55" s="54"/>
      <c r="AI55" s="54"/>
      <c r="AJ55" s="57"/>
      <c r="AK55" s="54"/>
      <c r="AL55" s="54"/>
      <c r="AM55" s="54"/>
      <c r="AN55" s="54"/>
      <c r="AO55" s="56"/>
      <c r="AP55" s="56"/>
      <c r="AQ55" s="58"/>
      <c r="AR55" s="51" t="n">
        <f aca="false">SUM(F55:I55)</f>
        <v>0</v>
      </c>
      <c r="AS55" s="59" t="n">
        <f aca="false">IF(AF55="",1,IF(K55&lt;&gt;0,(G55*0.5+J55)/K55,1))</f>
        <v>1</v>
      </c>
      <c r="AT55" s="60" t="str">
        <f aca="false">IF(AP55="","",IF(ISERROR(FIND(CHAR(10),AP55,1)),AP55,LEFT(AP55,FIND(CHAR(10),AP55,1))))</f>
        <v/>
      </c>
      <c r="AU55" s="61" t="str">
        <f aca="false">IF(AP55="","",IFERROR(RIGHT(AP55,LEN(AP55)-FIND("@@@",SUBSTITUTE(AP55,CHAR(10),"@@@",LEN(AP55)-LEN(SUBSTITUTE(AP55,CHAR(10),""))),1)),AP55))</f>
        <v/>
      </c>
      <c r="AV55" s="62" t="str">
        <f aca="false">IFERROR(DATE(("20"&amp;MID(AT55,7,2))*1,MID(AT55,4,2)*1,MID(AT55,1,2)*1),"")</f>
        <v/>
      </c>
      <c r="AW55" s="62" t="str">
        <f aca="false">IFERROR(DATE(("20"&amp;MID(AU55,7,2))*1,MID(AU55,4,2)*1,MID(AU55,1,2)*1),"")</f>
        <v/>
      </c>
      <c r="AX55" s="56" t="s">
        <v>450</v>
      </c>
    </row>
    <row r="56" customFormat="false" ht="12.75" hidden="false" customHeight="true" outlineLevel="0" collapsed="false">
      <c r="B56" s="49" t="str">
        <f aca="false">IF(AK56="","tbc",AK56)</f>
        <v>tbc</v>
      </c>
      <c r="C56" s="49" t="str">
        <f aca="false">IF(AL56="","VNT",AL56)</f>
        <v>VNT</v>
      </c>
      <c r="D56" s="49" t="n">
        <f aca="false">MAX(AB56,IF(AW56="none",AB56,AW56))</f>
        <v>0</v>
      </c>
      <c r="E56" s="50" t="n">
        <f aca="false">IFERROR(DAYS360(AB56,D56),0)</f>
        <v>0</v>
      </c>
      <c r="F56" s="50" t="n">
        <f aca="false">((LEN($AQ56)-LEN(SUBSTITUTE($AQ56,CHAR(10)&amp;". ","")))/3)+IF(LEFT(TRIM($AQ56),2)=". ",1,0)</f>
        <v>0</v>
      </c>
      <c r="G56" s="50" t="n">
        <f aca="false">((LEN($AQ56)-LEN(SUBSTITUTE($AQ56,CHAR(10)&amp;"/ ","")))/3)+IF(LEFT(TRIM($AQ56),2)="/ ",1,0)</f>
        <v>0</v>
      </c>
      <c r="H56" s="50" t="n">
        <f aca="false">((LEN($AQ56)-LEN(SUBSTITUTE($AQ56,CHAR(10)&amp;"~ ","")))/3)+IF(LEFT(TRIM($AQ56),2)="~ ",1,0)</f>
        <v>0</v>
      </c>
      <c r="I56" s="50" t="n">
        <f aca="false">((LEN($AQ56)-LEN(SUBSTITUTE($AQ56,CHAR(10)&amp;"! ","")))/3)+IF(LEFT(TRIM($AQ56),2)="! ",1,0)</f>
        <v>0</v>
      </c>
      <c r="J56" s="50" t="n">
        <f aca="false">((LEN($AQ56)-LEN(SUBSTITUTE($AQ56,CHAR(10)&amp;"x ","")))/3)+IF(LEFT(TRIM($AQ56),2)="x ",1,0)</f>
        <v>0</v>
      </c>
      <c r="K56" s="50" t="n">
        <f aca="false">SUM(F56:J56)</f>
        <v>0</v>
      </c>
      <c r="L56" s="51" t="n">
        <f aca="false">YEAR(D56)</f>
        <v>1899</v>
      </c>
      <c r="M56" s="51" t="str">
        <f aca="false">VLOOKUP(MONTH(D56),Static!$AJ$3:$AK$16,2,0)</f>
        <v>Dec</v>
      </c>
      <c r="N56" s="51" t="n">
        <f aca="false">WEEKNUM(D56,1)</f>
        <v>52</v>
      </c>
      <c r="O56" s="51" t="str">
        <f aca="false">IFERROR(INDEX(Static!$I$5:$L$15,MATCH(AE56,Static!$I$5:$I$15,0),3),"Z")</f>
        <v>Z</v>
      </c>
      <c r="P56" s="51" t="str">
        <f aca="false">IFERROR(INDEX(Static!$I$5:$L$15,MATCH(AE56,Static!$I$5:$I$15,0),2),"Y")</f>
        <v>Y</v>
      </c>
      <c r="Q56" s="51" t="str">
        <f aca="false">IFERROR(INDEX(Static!$I$5:$L$15,MATCH(AE56,Static!$I$5:$I$15,0),4),"Y")</f>
        <v>Y</v>
      </c>
      <c r="R56" s="51" t="str">
        <f aca="false">IF(AND(AI56&lt;&gt;"",S56="N",$A$1&gt;=AI56-(7*$D$2)),"Y","N")</f>
        <v>N</v>
      </c>
      <c r="S56" s="51" t="str">
        <f aca="false">IF(AND(AI56&lt;&gt;"",$A$1&gt;=AI56),"Y","N")</f>
        <v>N</v>
      </c>
      <c r="T56" s="51" t="str">
        <f aca="false">IF(D56&gt;(($A$1-WEEKDAY($A$1,2))-7*$D$2),"Y","N")</f>
        <v>N</v>
      </c>
      <c r="U56" s="49" t="str">
        <f aca="false">IF(AR56&gt;0,"Y","N")</f>
        <v>N</v>
      </c>
      <c r="V56" s="51" t="str">
        <f aca="false">IF(AND(T56="Y",U56="N"),"Y","N")</f>
        <v>N</v>
      </c>
      <c r="W56" s="52" t="str">
        <f aca="false">IF(OR(R56="Y",AND(U56="Y",S56="Y"), $A$1=AI56),"Y","N")</f>
        <v>N</v>
      </c>
      <c r="X56" s="49" t="str">
        <f aca="false">IF(OR(AC56="Y",AC56="N"),AC56,IF(AND(Q56="Y", OR(T56="Y",V56="Y", W56="Y")),"Y","N"))</f>
        <v>N</v>
      </c>
      <c r="Y56" s="51" t="str">
        <f aca="false">IF(OR(P56="Y", U56="Y",W56="Y"),"Y","N")</f>
        <v>Y</v>
      </c>
      <c r="Z56" s="53" t="str">
        <f aca="false">" -  "&amp;O56&amp;AM56&amp;AN56&amp;AF56</f>
        <v>-  Z</v>
      </c>
      <c r="AA56" s="51" t="str">
        <f aca="false">IFERROR(VLOOKUP(WEEKDAY(AB56),Static!$AL$3:$AM$11,2,0),"")</f>
        <v/>
      </c>
      <c r="AB56" s="49" t="str">
        <f aca="false">IF(AH56&lt;&gt;"",AH56,AV56)</f>
        <v/>
      </c>
      <c r="AC56" s="54"/>
      <c r="AD56" s="54"/>
      <c r="AE56" s="55"/>
      <c r="AF56" s="56"/>
      <c r="AG56" s="56"/>
      <c r="AH56" s="54"/>
      <c r="AI56" s="54"/>
      <c r="AJ56" s="57"/>
      <c r="AK56" s="54"/>
      <c r="AL56" s="54"/>
      <c r="AM56" s="54"/>
      <c r="AN56" s="54"/>
      <c r="AO56" s="56"/>
      <c r="AP56" s="56"/>
      <c r="AQ56" s="56"/>
      <c r="AR56" s="51" t="n">
        <f aca="false">SUM(F56:I56)</f>
        <v>0</v>
      </c>
      <c r="AS56" s="59" t="n">
        <f aca="false">IF(AF56="",1,IF(K56&lt;&gt;0,(G56*0.5+J56)/K56,1))</f>
        <v>1</v>
      </c>
      <c r="AT56" s="60" t="str">
        <f aca="false">IF(AP56="","",IF(ISERROR(FIND(CHAR(10),AP56,1)),AP56,LEFT(AP56,FIND(CHAR(10),AP56,1))))</f>
        <v/>
      </c>
      <c r="AU56" s="61" t="str">
        <f aca="false">IF(AP56="","",IFERROR(RIGHT(AP56,LEN(AP56)-FIND("@@@",SUBSTITUTE(AP56,CHAR(10),"@@@",LEN(AP56)-LEN(SUBSTITUTE(AP56,CHAR(10),""))),1)),AP56))</f>
        <v/>
      </c>
      <c r="AV56" s="62" t="str">
        <f aca="false">IFERROR(DATE(("20"&amp;MID(AT56,7,2))*1,MID(AT56,4,2)*1,MID(AT56,1,2)*1),"")</f>
        <v/>
      </c>
      <c r="AW56" s="62" t="str">
        <f aca="false">IFERROR(DATE(("20"&amp;MID(AU56,7,2))*1,MID(AU56,4,2)*1,MID(AU56,1,2)*1),"")</f>
        <v/>
      </c>
      <c r="AX56" s="56" t="s">
        <v>450</v>
      </c>
    </row>
    <row r="57" customFormat="false" ht="12.75" hidden="false" customHeight="true" outlineLevel="0" collapsed="false">
      <c r="B57" s="49" t="str">
        <f aca="false">IF(AK57="","tbc",AK57)</f>
        <v>tbc</v>
      </c>
      <c r="C57" s="49" t="str">
        <f aca="false">IF(AL57="","VNT",AL57)</f>
        <v>VNT</v>
      </c>
      <c r="D57" s="49" t="n">
        <f aca="false">MAX(AB57,IF(AW57="none",AB57,AW57))</f>
        <v>0</v>
      </c>
      <c r="E57" s="50" t="n">
        <f aca="false">IFERROR(DAYS360(AB57,D57),0)</f>
        <v>0</v>
      </c>
      <c r="F57" s="50" t="n">
        <f aca="false">((LEN($AQ57)-LEN(SUBSTITUTE($AQ57,CHAR(10)&amp;". ","")))/3)+IF(LEFT(TRIM($AQ57),2)=". ",1,0)</f>
        <v>0</v>
      </c>
      <c r="G57" s="50" t="n">
        <f aca="false">((LEN($AQ57)-LEN(SUBSTITUTE($AQ57,CHAR(10)&amp;"/ ","")))/3)+IF(LEFT(TRIM($AQ57),2)="/ ",1,0)</f>
        <v>0</v>
      </c>
      <c r="H57" s="50" t="n">
        <f aca="false">((LEN($AQ57)-LEN(SUBSTITUTE($AQ57,CHAR(10)&amp;"~ ","")))/3)+IF(LEFT(TRIM($AQ57),2)="~ ",1,0)</f>
        <v>0</v>
      </c>
      <c r="I57" s="50" t="n">
        <f aca="false">((LEN($AQ57)-LEN(SUBSTITUTE($AQ57,CHAR(10)&amp;"! ","")))/3)+IF(LEFT(TRIM($AQ57),2)="! ",1,0)</f>
        <v>0</v>
      </c>
      <c r="J57" s="50" t="n">
        <f aca="false">((LEN($AQ57)-LEN(SUBSTITUTE($AQ57,CHAR(10)&amp;"x ","")))/3)+IF(LEFT(TRIM($AQ57),2)="x ",1,0)</f>
        <v>0</v>
      </c>
      <c r="K57" s="50" t="n">
        <f aca="false">SUM(F57:J57)</f>
        <v>0</v>
      </c>
      <c r="L57" s="51" t="n">
        <f aca="false">YEAR(D57)</f>
        <v>1899</v>
      </c>
      <c r="M57" s="51" t="str">
        <f aca="false">VLOOKUP(MONTH(D57),Static!$AJ$3:$AK$16,2,0)</f>
        <v>Dec</v>
      </c>
      <c r="N57" s="51" t="n">
        <f aca="false">WEEKNUM(D57,1)</f>
        <v>52</v>
      </c>
      <c r="O57" s="51" t="str">
        <f aca="false">IFERROR(INDEX(Static!$I$5:$L$15,MATCH(AE57,Static!$I$5:$I$15,0),3),"Z")</f>
        <v>Z</v>
      </c>
      <c r="P57" s="51" t="str">
        <f aca="false">IFERROR(INDEX(Static!$I$5:$L$15,MATCH(AE57,Static!$I$5:$I$15,0),2),"Y")</f>
        <v>Y</v>
      </c>
      <c r="Q57" s="51" t="str">
        <f aca="false">IFERROR(INDEX(Static!$I$5:$L$15,MATCH(AE57,Static!$I$5:$I$15,0),4),"Y")</f>
        <v>Y</v>
      </c>
      <c r="R57" s="51" t="str">
        <f aca="false">IF(AND(AI57&lt;&gt;"",S57="N",$A$1&gt;=AI57-(7*$D$2)),"Y","N")</f>
        <v>N</v>
      </c>
      <c r="S57" s="51" t="str">
        <f aca="false">IF(AND(AI57&lt;&gt;"",$A$1&gt;=AI57),"Y","N")</f>
        <v>N</v>
      </c>
      <c r="T57" s="51" t="str">
        <f aca="false">IF(D57&gt;(($A$1-WEEKDAY($A$1,2))-7*$D$2),"Y","N")</f>
        <v>N</v>
      </c>
      <c r="U57" s="49" t="str">
        <f aca="false">IF(AR57&gt;0,"Y","N")</f>
        <v>N</v>
      </c>
      <c r="V57" s="51" t="str">
        <f aca="false">IF(AND(T57="Y",U57="N"),"Y","N")</f>
        <v>N</v>
      </c>
      <c r="W57" s="52" t="str">
        <f aca="false">IF(OR(R57="Y",AND(U57="Y",S57="Y"), $A$1=AI57),"Y","N")</f>
        <v>N</v>
      </c>
      <c r="X57" s="49" t="str">
        <f aca="false">IF(OR(AC57="Y",AC57="N"),AC57,IF(AND(Q57="Y", OR(T57="Y",V57="Y", W57="Y")),"Y","N"))</f>
        <v>N</v>
      </c>
      <c r="Y57" s="51" t="str">
        <f aca="false">IF(OR(P57="Y", U57="Y",W57="Y"),"Y","N")</f>
        <v>Y</v>
      </c>
      <c r="Z57" s="53" t="str">
        <f aca="false">" -  "&amp;O57&amp;AM57&amp;AN57&amp;AF57</f>
        <v>-  Z</v>
      </c>
      <c r="AA57" s="51" t="str">
        <f aca="false">IFERROR(VLOOKUP(WEEKDAY(AB57),Static!$AL$3:$AM$11,2,0),"")</f>
        <v/>
      </c>
      <c r="AB57" s="49" t="str">
        <f aca="false">IF(AH57&lt;&gt;"",AH57,AV57)</f>
        <v/>
      </c>
      <c r="AC57" s="54"/>
      <c r="AD57" s="54"/>
      <c r="AE57" s="55"/>
      <c r="AF57" s="56"/>
      <c r="AG57" s="56"/>
      <c r="AH57" s="54"/>
      <c r="AI57" s="54"/>
      <c r="AJ57" s="57"/>
      <c r="AK57" s="54"/>
      <c r="AL57" s="54"/>
      <c r="AM57" s="54"/>
      <c r="AN57" s="54"/>
      <c r="AO57" s="56"/>
      <c r="AP57" s="56"/>
      <c r="AQ57" s="58"/>
      <c r="AR57" s="51" t="n">
        <f aca="false">SUM(F57:I57)</f>
        <v>0</v>
      </c>
      <c r="AS57" s="59" t="n">
        <f aca="false">IF(AF57="",1,IF(K57&lt;&gt;0,(G57*0.5+J57)/K57,1))</f>
        <v>1</v>
      </c>
      <c r="AT57" s="60" t="str">
        <f aca="false">IF(AP57="","",IF(ISERROR(FIND(CHAR(10),AP57,1)),AP57,LEFT(AP57,FIND(CHAR(10),AP57,1))))</f>
        <v/>
      </c>
      <c r="AU57" s="61" t="str">
        <f aca="false">IF(AP57="","",IFERROR(RIGHT(AP57,LEN(AP57)-FIND("@@@",SUBSTITUTE(AP57,CHAR(10),"@@@",LEN(AP57)-LEN(SUBSTITUTE(AP57,CHAR(10),""))),1)),AP57))</f>
        <v/>
      </c>
      <c r="AV57" s="62" t="str">
        <f aca="false">IFERROR(DATE(("20"&amp;MID(AT57,7,2))*1,MID(AT57,4,2)*1,MID(AT57,1,2)*1),"")</f>
        <v/>
      </c>
      <c r="AW57" s="62" t="str">
        <f aca="false">IFERROR(DATE(("20"&amp;MID(AU57,7,2))*1,MID(AU57,4,2)*1,MID(AU57,1,2)*1),"")</f>
        <v/>
      </c>
      <c r="AX57" s="56" t="s">
        <v>450</v>
      </c>
    </row>
    <row r="58" customFormat="false" ht="12.75" hidden="false" customHeight="true" outlineLevel="0" collapsed="false">
      <c r="B58" s="49" t="str">
        <f aca="false">IF(AK58="","tbc",AK58)</f>
        <v>tbc</v>
      </c>
      <c r="C58" s="49" t="str">
        <f aca="false">IF(AL58="","VNT",AL58)</f>
        <v>VNT</v>
      </c>
      <c r="D58" s="49" t="n">
        <f aca="false">MAX(AB58,IF(AW58="none",AB58,AW58))</f>
        <v>0</v>
      </c>
      <c r="E58" s="50" t="n">
        <f aca="false">IFERROR(DAYS360(AB58,D58),0)</f>
        <v>0</v>
      </c>
      <c r="F58" s="50" t="n">
        <f aca="false">((LEN($AQ58)-LEN(SUBSTITUTE($AQ58,CHAR(10)&amp;". ","")))/3)+IF(LEFT(TRIM($AQ58),2)=". ",1,0)</f>
        <v>0</v>
      </c>
      <c r="G58" s="50" t="n">
        <f aca="false">((LEN($AQ58)-LEN(SUBSTITUTE($AQ58,CHAR(10)&amp;"/ ","")))/3)+IF(LEFT(TRIM($AQ58),2)="/ ",1,0)</f>
        <v>0</v>
      </c>
      <c r="H58" s="50" t="n">
        <f aca="false">((LEN($AQ58)-LEN(SUBSTITUTE($AQ58,CHAR(10)&amp;"~ ","")))/3)+IF(LEFT(TRIM($AQ58),2)="~ ",1,0)</f>
        <v>0</v>
      </c>
      <c r="I58" s="50" t="n">
        <f aca="false">((LEN($AQ58)-LEN(SUBSTITUTE($AQ58,CHAR(10)&amp;"! ","")))/3)+IF(LEFT(TRIM($AQ58),2)="! ",1,0)</f>
        <v>0</v>
      </c>
      <c r="J58" s="50" t="n">
        <f aca="false">((LEN($AQ58)-LEN(SUBSTITUTE($AQ58,CHAR(10)&amp;"x ","")))/3)+IF(LEFT(TRIM($AQ58),2)="x ",1,0)</f>
        <v>0</v>
      </c>
      <c r="K58" s="50" t="n">
        <f aca="false">SUM(F58:J58)</f>
        <v>0</v>
      </c>
      <c r="L58" s="51" t="n">
        <f aca="false">YEAR(D58)</f>
        <v>1899</v>
      </c>
      <c r="M58" s="51" t="str">
        <f aca="false">VLOOKUP(MONTH(D58),Static!$AJ$3:$AK$16,2,0)</f>
        <v>Dec</v>
      </c>
      <c r="N58" s="51" t="n">
        <f aca="false">WEEKNUM(D58,1)</f>
        <v>52</v>
      </c>
      <c r="O58" s="51" t="str">
        <f aca="false">IFERROR(INDEX(Static!$I$5:$L$15,MATCH(AE58,Static!$I$5:$I$15,0),3),"Z")</f>
        <v>Z</v>
      </c>
      <c r="P58" s="51" t="str">
        <f aca="false">IFERROR(INDEX(Static!$I$5:$L$15,MATCH(AE58,Static!$I$5:$I$15,0),2),"Y")</f>
        <v>Y</v>
      </c>
      <c r="Q58" s="51" t="str">
        <f aca="false">IFERROR(INDEX(Static!$I$5:$L$15,MATCH(AE58,Static!$I$5:$I$15,0),4),"Y")</f>
        <v>Y</v>
      </c>
      <c r="R58" s="51" t="str">
        <f aca="false">IF(AND(AI58&lt;&gt;"",S58="N",$A$1&gt;=AI58-(7*$D$2)),"Y","N")</f>
        <v>N</v>
      </c>
      <c r="S58" s="51" t="str">
        <f aca="false">IF(AND(AI58&lt;&gt;"",$A$1&gt;=AI58),"Y","N")</f>
        <v>N</v>
      </c>
      <c r="T58" s="51" t="str">
        <f aca="false">IF(D58&gt;(($A$1-WEEKDAY($A$1,2))-7*$D$2),"Y","N")</f>
        <v>N</v>
      </c>
      <c r="U58" s="49" t="str">
        <f aca="false">IF(AR58&gt;0,"Y","N")</f>
        <v>N</v>
      </c>
      <c r="V58" s="51" t="str">
        <f aca="false">IF(AND(T58="Y",U58="N"),"Y","N")</f>
        <v>N</v>
      </c>
      <c r="W58" s="52" t="str">
        <f aca="false">IF(OR(R58="Y",AND(U58="Y",S58="Y"), $A$1=AI58),"Y","N")</f>
        <v>N</v>
      </c>
      <c r="X58" s="49" t="str">
        <f aca="false">IF(OR(AC58="Y",AC58="N"),AC58,IF(AND(Q58="Y", OR(T58="Y",V58="Y", W58="Y")),"Y","N"))</f>
        <v>N</v>
      </c>
      <c r="Y58" s="51" t="str">
        <f aca="false">IF(OR(P58="Y", U58="Y",W58="Y"),"Y","N")</f>
        <v>Y</v>
      </c>
      <c r="Z58" s="53" t="str">
        <f aca="false">" -  "&amp;O58&amp;AM58&amp;AN58&amp;AF58</f>
        <v>-  Z</v>
      </c>
      <c r="AA58" s="51" t="str">
        <f aca="false">IFERROR(VLOOKUP(WEEKDAY(AB58),Static!$AL$3:$AM$11,2,0),"")</f>
        <v/>
      </c>
      <c r="AB58" s="49" t="str">
        <f aca="false">IF(AH58&lt;&gt;"",AH58,AV58)</f>
        <v/>
      </c>
      <c r="AC58" s="54"/>
      <c r="AD58" s="54"/>
      <c r="AE58" s="55"/>
      <c r="AF58" s="56"/>
      <c r="AG58" s="56"/>
      <c r="AH58" s="54"/>
      <c r="AI58" s="54"/>
      <c r="AJ58" s="57"/>
      <c r="AK58" s="54"/>
      <c r="AL58" s="54"/>
      <c r="AM58" s="54"/>
      <c r="AN58" s="54"/>
      <c r="AO58" s="56"/>
      <c r="AP58" s="56"/>
      <c r="AQ58" s="58"/>
      <c r="AR58" s="51" t="n">
        <f aca="false">SUM(F58:I58)</f>
        <v>0</v>
      </c>
      <c r="AS58" s="59" t="n">
        <f aca="false">IF(AF58="",1,IF(K58&lt;&gt;0,(G58*0.5+J58)/K58,1))</f>
        <v>1</v>
      </c>
      <c r="AT58" s="60" t="str">
        <f aca="false">IF(AP58="","",IF(ISERROR(FIND(CHAR(10),AP58,1)),AP58,LEFT(AP58,FIND(CHAR(10),AP58,1))))</f>
        <v/>
      </c>
      <c r="AU58" s="61" t="str">
        <f aca="false">IF(AP58="","",IFERROR(RIGHT(AP58,LEN(AP58)-FIND("@@@",SUBSTITUTE(AP58,CHAR(10),"@@@",LEN(AP58)-LEN(SUBSTITUTE(AP58,CHAR(10),""))),1)),AP58))</f>
        <v/>
      </c>
      <c r="AV58" s="62" t="str">
        <f aca="false">IFERROR(DATE(("20"&amp;MID(AT58,7,2))*1,MID(AT58,4,2)*1,MID(AT58,1,2)*1),"")</f>
        <v/>
      </c>
      <c r="AW58" s="62" t="str">
        <f aca="false">IFERROR(DATE(("20"&amp;MID(AU58,7,2))*1,MID(AU58,4,2)*1,MID(AU58,1,2)*1),"")</f>
        <v/>
      </c>
      <c r="AX58" s="56" t="s">
        <v>450</v>
      </c>
    </row>
    <row r="59" customFormat="false" ht="12.75" hidden="false" customHeight="true" outlineLevel="0" collapsed="false">
      <c r="B59" s="49" t="str">
        <f aca="false">IF(AK59="","tbc",AK59)</f>
        <v>tbc</v>
      </c>
      <c r="C59" s="49" t="str">
        <f aca="false">IF(AL59="","VNT",AL59)</f>
        <v>VNT</v>
      </c>
      <c r="D59" s="49" t="n">
        <f aca="false">MAX(AB59,IF(AW59="none",AB59,AW59))</f>
        <v>0</v>
      </c>
      <c r="E59" s="50" t="n">
        <f aca="false">IFERROR(DAYS360(AB59,D59),0)</f>
        <v>0</v>
      </c>
      <c r="F59" s="50" t="n">
        <f aca="false">((LEN($AQ59)-LEN(SUBSTITUTE($AQ59,CHAR(10)&amp;". ","")))/3)+IF(LEFT(TRIM($AQ59),2)=". ",1,0)</f>
        <v>0</v>
      </c>
      <c r="G59" s="50" t="n">
        <f aca="false">((LEN($AQ59)-LEN(SUBSTITUTE($AQ59,CHAR(10)&amp;"/ ","")))/3)+IF(LEFT(TRIM($AQ59),2)="/ ",1,0)</f>
        <v>0</v>
      </c>
      <c r="H59" s="50" t="n">
        <f aca="false">((LEN($AQ59)-LEN(SUBSTITUTE($AQ59,CHAR(10)&amp;"~ ","")))/3)+IF(LEFT(TRIM($AQ59),2)="~ ",1,0)</f>
        <v>0</v>
      </c>
      <c r="I59" s="50" t="n">
        <f aca="false">((LEN($AQ59)-LEN(SUBSTITUTE($AQ59,CHAR(10)&amp;"! ","")))/3)+IF(LEFT(TRIM($AQ59),2)="! ",1,0)</f>
        <v>0</v>
      </c>
      <c r="J59" s="50" t="n">
        <f aca="false">((LEN($AQ59)-LEN(SUBSTITUTE($AQ59,CHAR(10)&amp;"x ","")))/3)+IF(LEFT(TRIM($AQ59),2)="x ",1,0)</f>
        <v>0</v>
      </c>
      <c r="K59" s="50" t="n">
        <f aca="false">SUM(F59:J59)</f>
        <v>0</v>
      </c>
      <c r="L59" s="51" t="n">
        <f aca="false">YEAR(D59)</f>
        <v>1899</v>
      </c>
      <c r="M59" s="51" t="str">
        <f aca="false">VLOOKUP(MONTH(D59),Static!$AJ$3:$AK$16,2,0)</f>
        <v>Dec</v>
      </c>
      <c r="N59" s="51" t="n">
        <f aca="false">WEEKNUM(D59,1)</f>
        <v>52</v>
      </c>
      <c r="O59" s="51" t="str">
        <f aca="false">IFERROR(INDEX(Static!$I$5:$L$15,MATCH(AE59,Static!$I$5:$I$15,0),3),"Z")</f>
        <v>Z</v>
      </c>
      <c r="P59" s="51" t="str">
        <f aca="false">IFERROR(INDEX(Static!$I$5:$L$15,MATCH(AE59,Static!$I$5:$I$15,0),2),"Y")</f>
        <v>Y</v>
      </c>
      <c r="Q59" s="51" t="str">
        <f aca="false">IFERROR(INDEX(Static!$I$5:$L$15,MATCH(AE59,Static!$I$5:$I$15,0),4),"Y")</f>
        <v>Y</v>
      </c>
      <c r="R59" s="51" t="str">
        <f aca="false">IF(AND(AI59&lt;&gt;"",S59="N",$A$1&gt;=AI59-(7*$D$2)),"Y","N")</f>
        <v>N</v>
      </c>
      <c r="S59" s="51" t="str">
        <f aca="false">IF(AND(AI59&lt;&gt;"",$A$1&gt;=AI59),"Y","N")</f>
        <v>N</v>
      </c>
      <c r="T59" s="51" t="str">
        <f aca="false">IF(D59&gt;(($A$1-WEEKDAY($A$1,2))-7*$D$2),"Y","N")</f>
        <v>N</v>
      </c>
      <c r="U59" s="49" t="str">
        <f aca="false">IF(AR59&gt;0,"Y","N")</f>
        <v>N</v>
      </c>
      <c r="V59" s="51" t="str">
        <f aca="false">IF(AND(T59="Y",U59="N"),"Y","N")</f>
        <v>N</v>
      </c>
      <c r="W59" s="52" t="str">
        <f aca="false">IF(OR(R59="Y",AND(U59="Y",S59="Y"), $A$1=AI59),"Y","N")</f>
        <v>N</v>
      </c>
      <c r="X59" s="49" t="str">
        <f aca="false">IF(OR(AC59="Y",AC59="N"),AC59,IF(AND(Q59="Y", OR(T59="Y",V59="Y", W59="Y")),"Y","N"))</f>
        <v>N</v>
      </c>
      <c r="Y59" s="51" t="str">
        <f aca="false">IF(OR(P59="Y", U59="Y",W59="Y"),"Y","N")</f>
        <v>Y</v>
      </c>
      <c r="Z59" s="53" t="str">
        <f aca="false">" -  "&amp;O59&amp;AM59&amp;AN59&amp;AF59</f>
        <v>-  Z</v>
      </c>
      <c r="AA59" s="51" t="str">
        <f aca="false">IFERROR(VLOOKUP(WEEKDAY(AB59),Static!$AL$3:$AM$11,2,0),"")</f>
        <v/>
      </c>
      <c r="AB59" s="49" t="str">
        <f aca="false">IF(AH59&lt;&gt;"",AH59,AV59)</f>
        <v/>
      </c>
      <c r="AC59" s="54"/>
      <c r="AD59" s="54"/>
      <c r="AE59" s="55"/>
      <c r="AF59" s="56"/>
      <c r="AG59" s="56"/>
      <c r="AH59" s="54"/>
      <c r="AI59" s="54"/>
      <c r="AJ59" s="57"/>
      <c r="AK59" s="54"/>
      <c r="AL59" s="54"/>
      <c r="AM59" s="54"/>
      <c r="AN59" s="54"/>
      <c r="AO59" s="56"/>
      <c r="AP59" s="56"/>
      <c r="AQ59" s="56"/>
      <c r="AR59" s="51" t="n">
        <f aca="false">SUM(F59:I59)</f>
        <v>0</v>
      </c>
      <c r="AS59" s="59" t="n">
        <f aca="false">IF(AF59="",1,IF(K59&lt;&gt;0,(G59*0.5+J59)/K59,1))</f>
        <v>1</v>
      </c>
      <c r="AT59" s="60" t="str">
        <f aca="false">IF(AP59="","",IF(ISERROR(FIND(CHAR(10),AP59,1)),AP59,LEFT(AP59,FIND(CHAR(10),AP59,1))))</f>
        <v/>
      </c>
      <c r="AU59" s="61" t="str">
        <f aca="false">IF(AP59="","",IFERROR(RIGHT(AP59,LEN(AP59)-FIND("@@@",SUBSTITUTE(AP59,CHAR(10),"@@@",LEN(AP59)-LEN(SUBSTITUTE(AP59,CHAR(10),""))),1)),AP59))</f>
        <v/>
      </c>
      <c r="AV59" s="62" t="str">
        <f aca="false">IFERROR(DATE(("20"&amp;MID(AT59,7,2))*1,MID(AT59,4,2)*1,MID(AT59,1,2)*1),"")</f>
        <v/>
      </c>
      <c r="AW59" s="62" t="str">
        <f aca="false">IFERROR(DATE(("20"&amp;MID(AU59,7,2))*1,MID(AU59,4,2)*1,MID(AU59,1,2)*1),"")</f>
        <v/>
      </c>
      <c r="AX59" s="56" t="s">
        <v>450</v>
      </c>
    </row>
    <row r="60" customFormat="false" ht="12.75" hidden="false" customHeight="true" outlineLevel="0" collapsed="false">
      <c r="B60" s="49" t="str">
        <f aca="false">IF(AK60="","tbc",AK60)</f>
        <v>tbc</v>
      </c>
      <c r="C60" s="49" t="str">
        <f aca="false">IF(AL60="","VNT",AL60)</f>
        <v>VNT</v>
      </c>
      <c r="D60" s="49" t="n">
        <f aca="false">MAX(AB60,IF(AW60="none",AB60,AW60))</f>
        <v>0</v>
      </c>
      <c r="E60" s="50" t="n">
        <f aca="false">IFERROR(DAYS360(AB60,D60),0)</f>
        <v>0</v>
      </c>
      <c r="F60" s="50" t="n">
        <f aca="false">((LEN($AQ60)-LEN(SUBSTITUTE($AQ60,CHAR(10)&amp;". ","")))/3)+IF(LEFT(TRIM($AQ60),2)=". ",1,0)</f>
        <v>0</v>
      </c>
      <c r="G60" s="50" t="n">
        <f aca="false">((LEN($AQ60)-LEN(SUBSTITUTE($AQ60,CHAR(10)&amp;"/ ","")))/3)+IF(LEFT(TRIM($AQ60),2)="/ ",1,0)</f>
        <v>0</v>
      </c>
      <c r="H60" s="50" t="n">
        <f aca="false">((LEN($AQ60)-LEN(SUBSTITUTE($AQ60,CHAR(10)&amp;"~ ","")))/3)+IF(LEFT(TRIM($AQ60),2)="~ ",1,0)</f>
        <v>0</v>
      </c>
      <c r="I60" s="50" t="n">
        <f aca="false">((LEN($AQ60)-LEN(SUBSTITUTE($AQ60,CHAR(10)&amp;"! ","")))/3)+IF(LEFT(TRIM($AQ60),2)="! ",1,0)</f>
        <v>0</v>
      </c>
      <c r="J60" s="50" t="n">
        <f aca="false">((LEN($AQ60)-LEN(SUBSTITUTE($AQ60,CHAR(10)&amp;"x ","")))/3)+IF(LEFT(TRIM($AQ60),2)="x ",1,0)</f>
        <v>0</v>
      </c>
      <c r="K60" s="50" t="n">
        <f aca="false">SUM(F60:J60)</f>
        <v>0</v>
      </c>
      <c r="L60" s="51" t="n">
        <f aca="false">YEAR(D60)</f>
        <v>1899</v>
      </c>
      <c r="M60" s="51" t="str">
        <f aca="false">VLOOKUP(MONTH(D60),Static!$AJ$3:$AK$16,2,0)</f>
        <v>Dec</v>
      </c>
      <c r="N60" s="51" t="n">
        <f aca="false">WEEKNUM(D60,1)</f>
        <v>52</v>
      </c>
      <c r="O60" s="51" t="str">
        <f aca="false">IFERROR(INDEX(Static!$I$5:$L$15,MATCH(AE60,Static!$I$5:$I$15,0),3),"Z")</f>
        <v>Z</v>
      </c>
      <c r="P60" s="51" t="str">
        <f aca="false">IFERROR(INDEX(Static!$I$5:$L$15,MATCH(AE60,Static!$I$5:$I$15,0),2),"Y")</f>
        <v>Y</v>
      </c>
      <c r="Q60" s="51" t="str">
        <f aca="false">IFERROR(INDEX(Static!$I$5:$L$15,MATCH(AE60,Static!$I$5:$I$15,0),4),"Y")</f>
        <v>Y</v>
      </c>
      <c r="R60" s="51" t="str">
        <f aca="false">IF(AND(AI60&lt;&gt;"",S60="N",$A$1&gt;=AI60-(7*$D$2)),"Y","N")</f>
        <v>N</v>
      </c>
      <c r="S60" s="51" t="str">
        <f aca="false">IF(AND(AI60&lt;&gt;"",$A$1&gt;=AI60),"Y","N")</f>
        <v>N</v>
      </c>
      <c r="T60" s="51" t="str">
        <f aca="false">IF(D60&gt;(($A$1-WEEKDAY($A$1,2))-7*$D$2),"Y","N")</f>
        <v>N</v>
      </c>
      <c r="U60" s="49" t="str">
        <f aca="false">IF(AR60&gt;0,"Y","N")</f>
        <v>N</v>
      </c>
      <c r="V60" s="51" t="str">
        <f aca="false">IF(AND(T60="Y",U60="N"),"Y","N")</f>
        <v>N</v>
      </c>
      <c r="W60" s="52" t="str">
        <f aca="false">IF(OR(R60="Y",AND(U60="Y",S60="Y"), $A$1=AI60),"Y","N")</f>
        <v>N</v>
      </c>
      <c r="X60" s="49" t="str">
        <f aca="false">IF(OR(AC60="Y",AC60="N"),AC60,IF(AND(Q60="Y", OR(T60="Y",V60="Y", W60="Y")),"Y","N"))</f>
        <v>N</v>
      </c>
      <c r="Y60" s="51" t="str">
        <f aca="false">IF(OR(P60="Y", U60="Y",W60="Y"),"Y","N")</f>
        <v>Y</v>
      </c>
      <c r="Z60" s="53" t="str">
        <f aca="false">" -  "&amp;O60&amp;AM60&amp;AN60&amp;AF60</f>
        <v>-  Z</v>
      </c>
      <c r="AA60" s="51" t="str">
        <f aca="false">IFERROR(VLOOKUP(WEEKDAY(AB60),Static!$AL$3:$AM$11,2,0),"")</f>
        <v/>
      </c>
      <c r="AB60" s="49" t="str">
        <f aca="false">IF(AH60&lt;&gt;"",AH60,AV60)</f>
        <v/>
      </c>
      <c r="AC60" s="54"/>
      <c r="AD60" s="54"/>
      <c r="AE60" s="55"/>
      <c r="AF60" s="56"/>
      <c r="AG60" s="56"/>
      <c r="AH60" s="54"/>
      <c r="AI60" s="54"/>
      <c r="AJ60" s="57"/>
      <c r="AK60" s="54"/>
      <c r="AL60" s="54"/>
      <c r="AM60" s="54"/>
      <c r="AN60" s="54"/>
      <c r="AO60" s="56"/>
      <c r="AP60" s="56"/>
      <c r="AQ60" s="58"/>
      <c r="AR60" s="51" t="n">
        <f aca="false">SUM(F60:I60)</f>
        <v>0</v>
      </c>
      <c r="AS60" s="59" t="n">
        <f aca="false">IF(AF60="",1,IF(K60&lt;&gt;0,(G60*0.5+J60)/K60,1))</f>
        <v>1</v>
      </c>
      <c r="AT60" s="60" t="str">
        <f aca="false">IF(AP60="","",IF(ISERROR(FIND(CHAR(10),AP60,1)),AP60,LEFT(AP60,FIND(CHAR(10),AP60,1))))</f>
        <v/>
      </c>
      <c r="AU60" s="61" t="str">
        <f aca="false">IF(AP60="","",IFERROR(RIGHT(AP60,LEN(AP60)-FIND("@@@",SUBSTITUTE(AP60,CHAR(10),"@@@",LEN(AP60)-LEN(SUBSTITUTE(AP60,CHAR(10),""))),1)),AP60))</f>
        <v/>
      </c>
      <c r="AV60" s="62" t="str">
        <f aca="false">IFERROR(DATE(("20"&amp;MID(AT60,7,2))*1,MID(AT60,4,2)*1,MID(AT60,1,2)*1),"")</f>
        <v/>
      </c>
      <c r="AW60" s="62" t="str">
        <f aca="false">IFERROR(DATE(("20"&amp;MID(AU60,7,2))*1,MID(AU60,4,2)*1,MID(AU60,1,2)*1),"")</f>
        <v/>
      </c>
      <c r="AX60" s="56" t="s">
        <v>450</v>
      </c>
    </row>
    <row r="61" customFormat="false" ht="12.75" hidden="false" customHeight="true" outlineLevel="0" collapsed="false">
      <c r="B61" s="49" t="str">
        <f aca="false">IF(AK61="","tbc",AK61)</f>
        <v>tbc</v>
      </c>
      <c r="C61" s="49" t="str">
        <f aca="false">IF(AL61="","VNT",AL61)</f>
        <v>VNT</v>
      </c>
      <c r="D61" s="49" t="n">
        <f aca="false">MAX(AB61,IF(AW61="none",AB61,AW61))</f>
        <v>0</v>
      </c>
      <c r="E61" s="50" t="n">
        <f aca="false">IFERROR(DAYS360(AB61,D61),0)</f>
        <v>0</v>
      </c>
      <c r="F61" s="50" t="n">
        <f aca="false">((LEN($AQ61)-LEN(SUBSTITUTE($AQ61,CHAR(10)&amp;". ","")))/3)+IF(LEFT(TRIM($AQ61),2)=". ",1,0)</f>
        <v>0</v>
      </c>
      <c r="G61" s="50" t="n">
        <f aca="false">((LEN($AQ61)-LEN(SUBSTITUTE($AQ61,CHAR(10)&amp;"/ ","")))/3)+IF(LEFT(TRIM($AQ61),2)="/ ",1,0)</f>
        <v>0</v>
      </c>
      <c r="H61" s="50" t="n">
        <f aca="false">((LEN($AQ61)-LEN(SUBSTITUTE($AQ61,CHAR(10)&amp;"~ ","")))/3)+IF(LEFT(TRIM($AQ61),2)="~ ",1,0)</f>
        <v>0</v>
      </c>
      <c r="I61" s="50" t="n">
        <f aca="false">((LEN($AQ61)-LEN(SUBSTITUTE($AQ61,CHAR(10)&amp;"! ","")))/3)+IF(LEFT(TRIM($AQ61),2)="! ",1,0)</f>
        <v>0</v>
      </c>
      <c r="J61" s="50" t="n">
        <f aca="false">((LEN($AQ61)-LEN(SUBSTITUTE($AQ61,CHAR(10)&amp;"x ","")))/3)+IF(LEFT(TRIM($AQ61),2)="x ",1,0)</f>
        <v>0</v>
      </c>
      <c r="K61" s="50" t="n">
        <f aca="false">SUM(F61:J61)</f>
        <v>0</v>
      </c>
      <c r="L61" s="51" t="n">
        <f aca="false">YEAR(D61)</f>
        <v>1899</v>
      </c>
      <c r="M61" s="51" t="str">
        <f aca="false">VLOOKUP(MONTH(D61),Static!$AJ$3:$AK$16,2,0)</f>
        <v>Dec</v>
      </c>
      <c r="N61" s="51" t="n">
        <f aca="false">WEEKNUM(D61,1)</f>
        <v>52</v>
      </c>
      <c r="O61" s="51" t="str">
        <f aca="false">IFERROR(INDEX(Static!$I$5:$L$15,MATCH(AE61,Static!$I$5:$I$15,0),3),"Z")</f>
        <v>Z</v>
      </c>
      <c r="P61" s="51" t="str">
        <f aca="false">IFERROR(INDEX(Static!$I$5:$L$15,MATCH(AE61,Static!$I$5:$I$15,0),2),"Y")</f>
        <v>Y</v>
      </c>
      <c r="Q61" s="51" t="str">
        <f aca="false">IFERROR(INDEX(Static!$I$5:$L$15,MATCH(AE61,Static!$I$5:$I$15,0),4),"Y")</f>
        <v>Y</v>
      </c>
      <c r="R61" s="51" t="str">
        <f aca="false">IF(AND(AI61&lt;&gt;"",S61="N",$A$1&gt;=AI61-(7*$D$2)),"Y","N")</f>
        <v>N</v>
      </c>
      <c r="S61" s="51" t="str">
        <f aca="false">IF(AND(AI61&lt;&gt;"",$A$1&gt;=AI61),"Y","N")</f>
        <v>N</v>
      </c>
      <c r="T61" s="51" t="str">
        <f aca="false">IF(D61&gt;(($A$1-WEEKDAY($A$1,2))-7*$D$2),"Y","N")</f>
        <v>N</v>
      </c>
      <c r="U61" s="49" t="str">
        <f aca="false">IF(AR61&gt;0,"Y","N")</f>
        <v>N</v>
      </c>
      <c r="V61" s="51" t="str">
        <f aca="false">IF(AND(T61="Y",U61="N"),"Y","N")</f>
        <v>N</v>
      </c>
      <c r="W61" s="52" t="str">
        <f aca="false">IF(OR(R61="Y",AND(U61="Y",S61="Y"), $A$1=AI61),"Y","N")</f>
        <v>N</v>
      </c>
      <c r="X61" s="49" t="str">
        <f aca="false">IF(OR(AC61="Y",AC61="N"),AC61,IF(AND(Q61="Y", OR(T61="Y",V61="Y", W61="Y")),"Y","N"))</f>
        <v>N</v>
      </c>
      <c r="Y61" s="51" t="str">
        <f aca="false">IF(OR(P61="Y", U61="Y",W61="Y"),"Y","N")</f>
        <v>Y</v>
      </c>
      <c r="Z61" s="53" t="str">
        <f aca="false">" -  "&amp;O61&amp;AM61&amp;AN61&amp;AF61</f>
        <v>-  Z</v>
      </c>
      <c r="AA61" s="51" t="str">
        <f aca="false">IFERROR(VLOOKUP(WEEKDAY(AB61),Static!$AL$3:$AM$11,2,0),"")</f>
        <v/>
      </c>
      <c r="AB61" s="49" t="str">
        <f aca="false">IF(AH61&lt;&gt;"",AH61,AV61)</f>
        <v/>
      </c>
      <c r="AC61" s="54"/>
      <c r="AD61" s="54"/>
      <c r="AE61" s="55"/>
      <c r="AF61" s="56"/>
      <c r="AG61" s="56"/>
      <c r="AH61" s="54"/>
      <c r="AI61" s="54"/>
      <c r="AJ61" s="57"/>
      <c r="AK61" s="54"/>
      <c r="AL61" s="54"/>
      <c r="AM61" s="54"/>
      <c r="AN61" s="54"/>
      <c r="AO61" s="56"/>
      <c r="AP61" s="56"/>
      <c r="AQ61" s="58"/>
      <c r="AR61" s="51" t="n">
        <f aca="false">SUM(F61:I61)</f>
        <v>0</v>
      </c>
      <c r="AS61" s="59" t="n">
        <f aca="false">IF(AF61="",1,IF(K61&lt;&gt;0,(G61*0.5+J61)/K61,1))</f>
        <v>1</v>
      </c>
      <c r="AT61" s="60" t="str">
        <f aca="false">IF(AP61="","",IF(ISERROR(FIND(CHAR(10),AP61,1)),AP61,LEFT(AP61,FIND(CHAR(10),AP61,1))))</f>
        <v/>
      </c>
      <c r="AU61" s="61" t="str">
        <f aca="false">IF(AP61="","",IFERROR(RIGHT(AP61,LEN(AP61)-FIND("@@@",SUBSTITUTE(AP61,CHAR(10),"@@@",LEN(AP61)-LEN(SUBSTITUTE(AP61,CHAR(10),""))),1)),AP61))</f>
        <v/>
      </c>
      <c r="AV61" s="62" t="str">
        <f aca="false">IFERROR(DATE(("20"&amp;MID(AT61,7,2))*1,MID(AT61,4,2)*1,MID(AT61,1,2)*1),"")</f>
        <v/>
      </c>
      <c r="AW61" s="62" t="str">
        <f aca="false">IFERROR(DATE(("20"&amp;MID(AU61,7,2))*1,MID(AU61,4,2)*1,MID(AU61,1,2)*1),"")</f>
        <v/>
      </c>
      <c r="AX61" s="56" t="s">
        <v>450</v>
      </c>
    </row>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sheetData>
  <autoFilter ref="A4:AX61"/>
  <conditionalFormatting sqref="W5:W61">
    <cfRule type="cellIs" priority="2" operator="equal" aboveAverage="0" equalAverage="0" bottom="0" percent="0" rank="0" text="" dxfId="7">
      <formula>"Y"</formula>
    </cfRule>
    <cfRule type="cellIs" priority="3" operator="equal" aboveAverage="0" equalAverage="0" bottom="0" percent="0" rank="0" text="" dxfId="8">
      <formula>0</formula>
    </cfRule>
  </conditionalFormatting>
  <conditionalFormatting sqref="AS5:AS61">
    <cfRule type="colorScale" priority="4">
      <colorScale>
        <cfvo type="num" val="0"/>
        <cfvo type="num" val="1"/>
        <color rgb="FFFF0000"/>
        <color rgb="FF00A933"/>
      </colorScale>
    </cfRule>
  </conditionalFormatting>
  <dataValidations count="4">
    <dataValidation allowBlank="true" errorStyle="stop" operator="equal" showDropDown="false" showErrorMessage="true" showInputMessage="false" sqref="AE5:AE61" type="list">
      <formula1>Static!$I$5:$I$15</formula1>
      <formula2>0</formula2>
    </dataValidation>
    <dataValidation allowBlank="true" errorStyle="stop" operator="equal" showDropDown="false" showErrorMessage="true" showInputMessage="false" sqref="AC5:AC61" type="list">
      <formula1>Static!$AI$5:$AI$7</formula1>
      <formula2>0</formula2>
    </dataValidation>
    <dataValidation allowBlank="true" errorStyle="stop" operator="equal" showDropDown="false" showErrorMessage="true" showInputMessage="false" sqref="AN5:AN61" type="list">
      <formula1>INDIRECT(AM5)</formula1>
      <formula2>0</formula2>
    </dataValidation>
    <dataValidation allowBlank="true" errorStyle="stop" operator="equal" showDropDown="false" showErrorMessage="true" showInputMessage="false" sqref="AM5:AM61" type="list">
      <formula1>Static!$M$5:$V$5</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43"/>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S2" activeCellId="0" sqref="AS2"/>
    </sheetView>
  </sheetViews>
  <sheetFormatPr defaultColWidth="15.6875" defaultRowHeight="12.8" zeroHeight="false" outlineLevelRow="1" outlineLevelCol="1"/>
  <cols>
    <col collapsed="false" customWidth="true" hidden="false" outlineLevel="1" max="1" min="1" style="2" width="1.8"/>
    <col collapsed="false" customWidth="true" hidden="false" outlineLevel="1" max="2" min="2" style="31" width="7.68"/>
    <col collapsed="false" customWidth="true" hidden="false" outlineLevel="0" max="3" min="3" style="31" width="7.75"/>
    <col collapsed="false" customWidth="true" hidden="false" outlineLevel="0" max="4" min="4" style="31" width="10.82"/>
    <col collapsed="false" customWidth="true" hidden="false" outlineLevel="0" max="18" min="5" style="31" width="6.72"/>
    <col collapsed="false" customWidth="true" hidden="false" outlineLevel="0" max="36" min="19" style="2" width="6.72"/>
    <col collapsed="false" customWidth="true" hidden="false" outlineLevel="0" max="39" min="37" style="31" width="6.72"/>
    <col collapsed="false" customWidth="true" hidden="false" outlineLevel="0" max="44" min="40" style="2" width="6.72"/>
    <col collapsed="false" customWidth="true" hidden="false" outlineLevel="0" max="45" min="45" style="31" width="15.49"/>
    <col collapsed="false" customWidth="true" hidden="false" outlineLevel="0" max="46" min="46" style="0" width="2.54"/>
  </cols>
  <sheetData>
    <row r="1" s="38" customFormat="true" ht="71.45" hidden="false" customHeight="true" outlineLevel="1" collapsed="false">
      <c r="A1" s="33" t="n">
        <f aca="true">TODAY()</f>
        <v>45334</v>
      </c>
      <c r="B1" s="34" t="s">
        <v>551</v>
      </c>
      <c r="C1" s="34" t="s">
        <v>552</v>
      </c>
      <c r="D1" s="34" t="s">
        <v>553</v>
      </c>
      <c r="E1" s="34" t="s">
        <v>554</v>
      </c>
      <c r="F1" s="34" t="s">
        <v>554</v>
      </c>
      <c r="G1" s="34" t="s">
        <v>554</v>
      </c>
      <c r="H1" s="34" t="s">
        <v>554</v>
      </c>
      <c r="I1" s="34" t="s">
        <v>554</v>
      </c>
      <c r="J1" s="34" t="s">
        <v>554</v>
      </c>
      <c r="K1" s="34" t="s">
        <v>554</v>
      </c>
      <c r="L1" s="34" t="s">
        <v>554</v>
      </c>
      <c r="M1" s="34" t="s">
        <v>554</v>
      </c>
      <c r="N1" s="34" t="s">
        <v>554</v>
      </c>
      <c r="O1" s="34" t="s">
        <v>554</v>
      </c>
      <c r="P1" s="34" t="s">
        <v>554</v>
      </c>
      <c r="Q1" s="34" t="s">
        <v>554</v>
      </c>
      <c r="R1" s="34" t="s">
        <v>554</v>
      </c>
      <c r="S1" s="34" t="s">
        <v>554</v>
      </c>
      <c r="T1" s="34" t="s">
        <v>554</v>
      </c>
      <c r="U1" s="34" t="s">
        <v>554</v>
      </c>
      <c r="V1" s="34" t="s">
        <v>554</v>
      </c>
      <c r="W1" s="34" t="s">
        <v>554</v>
      </c>
      <c r="X1" s="34" t="s">
        <v>554</v>
      </c>
      <c r="Y1" s="34" t="s">
        <v>554</v>
      </c>
      <c r="Z1" s="34" t="s">
        <v>554</v>
      </c>
      <c r="AA1" s="34" t="s">
        <v>554</v>
      </c>
      <c r="AB1" s="34" t="s">
        <v>554</v>
      </c>
      <c r="AC1" s="34" t="s">
        <v>554</v>
      </c>
      <c r="AD1" s="34" t="s">
        <v>554</v>
      </c>
      <c r="AE1" s="34" t="s">
        <v>554</v>
      </c>
      <c r="AF1" s="34" t="s">
        <v>554</v>
      </c>
      <c r="AG1" s="34" t="s">
        <v>554</v>
      </c>
      <c r="AH1" s="34" t="s">
        <v>554</v>
      </c>
      <c r="AI1" s="34" t="s">
        <v>554</v>
      </c>
      <c r="AJ1" s="34" t="s">
        <v>554</v>
      </c>
      <c r="AK1" s="34" t="s">
        <v>554</v>
      </c>
      <c r="AL1" s="34" t="s">
        <v>554</v>
      </c>
      <c r="AM1" s="34" t="s">
        <v>554</v>
      </c>
      <c r="AN1" s="34" t="s">
        <v>554</v>
      </c>
      <c r="AO1" s="34" t="s">
        <v>554</v>
      </c>
      <c r="AP1" s="34" t="s">
        <v>554</v>
      </c>
      <c r="AQ1" s="34" t="s">
        <v>554</v>
      </c>
      <c r="AR1" s="34" t="s">
        <v>554</v>
      </c>
      <c r="AS1" s="34" t="s">
        <v>555</v>
      </c>
      <c r="AT1" s="36" t="s">
        <v>393</v>
      </c>
      <c r="ALX1" s="0"/>
      <c r="ALY1" s="0"/>
      <c r="ALZ1" s="0"/>
      <c r="AMA1" s="0"/>
      <c r="AMB1" s="0"/>
      <c r="AMC1" s="0"/>
      <c r="AMD1" s="0"/>
      <c r="AME1" s="0"/>
      <c r="AMF1" s="0"/>
      <c r="AMG1" s="0"/>
      <c r="AMH1" s="0"/>
      <c r="AMI1" s="0"/>
      <c r="AMJ1" s="0"/>
    </row>
    <row r="2" s="38" customFormat="true" ht="14.15" hidden="false" customHeight="true" outlineLevel="1" collapsed="false">
      <c r="A2" s="36"/>
      <c r="B2" s="34"/>
      <c r="C2" s="34" t="n">
        <v>1</v>
      </c>
      <c r="D2" s="34" t="n">
        <v>2</v>
      </c>
      <c r="E2" s="34" t="n">
        <v>3</v>
      </c>
      <c r="F2" s="34" t="n">
        <v>4</v>
      </c>
      <c r="G2" s="34" t="n">
        <v>5</v>
      </c>
      <c r="H2" s="34" t="n">
        <v>6</v>
      </c>
      <c r="I2" s="34" t="n">
        <v>7</v>
      </c>
      <c r="J2" s="34" t="n">
        <v>8</v>
      </c>
      <c r="K2" s="34" t="n">
        <v>9</v>
      </c>
      <c r="L2" s="34" t="n">
        <v>10</v>
      </c>
      <c r="M2" s="34" t="n">
        <v>11</v>
      </c>
      <c r="N2" s="34" t="n">
        <v>12</v>
      </c>
      <c r="O2" s="34" t="n">
        <v>13</v>
      </c>
      <c r="P2" s="34" t="n">
        <v>14</v>
      </c>
      <c r="Q2" s="34" t="n">
        <v>15</v>
      </c>
      <c r="R2" s="34" t="n">
        <v>16</v>
      </c>
      <c r="S2" s="34" t="n">
        <v>17</v>
      </c>
      <c r="T2" s="34" t="n">
        <v>18</v>
      </c>
      <c r="U2" s="34" t="n">
        <v>19</v>
      </c>
      <c r="V2" s="34" t="n">
        <v>20</v>
      </c>
      <c r="W2" s="34" t="n">
        <v>21</v>
      </c>
      <c r="X2" s="34" t="n">
        <v>22</v>
      </c>
      <c r="Y2" s="34" t="n">
        <v>23</v>
      </c>
      <c r="Z2" s="34" t="n">
        <v>24</v>
      </c>
      <c r="AA2" s="34" t="n">
        <v>25</v>
      </c>
      <c r="AB2" s="34" t="n">
        <v>26</v>
      </c>
      <c r="AC2" s="34" t="n">
        <v>27</v>
      </c>
      <c r="AD2" s="34" t="n">
        <v>28</v>
      </c>
      <c r="AE2" s="34" t="n">
        <v>29</v>
      </c>
      <c r="AF2" s="34" t="n">
        <v>30</v>
      </c>
      <c r="AG2" s="34" t="n">
        <v>31</v>
      </c>
      <c r="AH2" s="34" t="n">
        <v>32</v>
      </c>
      <c r="AI2" s="34" t="n">
        <v>33</v>
      </c>
      <c r="AJ2" s="34" t="n">
        <v>34</v>
      </c>
      <c r="AK2" s="34" t="n">
        <v>35</v>
      </c>
      <c r="AL2" s="34" t="n">
        <v>36</v>
      </c>
      <c r="AM2" s="34" t="n">
        <v>37</v>
      </c>
      <c r="AN2" s="34" t="n">
        <v>38</v>
      </c>
      <c r="AO2" s="34" t="n">
        <v>39</v>
      </c>
      <c r="AP2" s="34" t="n">
        <v>40</v>
      </c>
      <c r="AQ2" s="34" t="n">
        <v>41</v>
      </c>
      <c r="AR2" s="34" t="n">
        <v>42</v>
      </c>
      <c r="AS2" s="34" t="n">
        <v>43</v>
      </c>
      <c r="AT2" s="36"/>
      <c r="ALX2" s="0"/>
      <c r="ALY2" s="0"/>
      <c r="ALZ2" s="0"/>
      <c r="AMA2" s="0"/>
      <c r="AMB2" s="0"/>
      <c r="AMC2" s="0"/>
      <c r="AMD2" s="0"/>
      <c r="AME2" s="0"/>
      <c r="AMF2" s="0"/>
      <c r="AMG2" s="0"/>
      <c r="AMH2" s="0"/>
      <c r="AMI2" s="0"/>
      <c r="AMJ2" s="0"/>
    </row>
    <row r="3" customFormat="false" ht="32.2" hidden="false" customHeight="true" outlineLevel="0" collapsed="false">
      <c r="A3" s="39" t="s">
        <v>394</v>
      </c>
      <c r="B3" s="40"/>
      <c r="C3" s="41" t="s">
        <v>556</v>
      </c>
      <c r="D3" s="41" t="s">
        <v>557</v>
      </c>
      <c r="E3" s="41" t="s">
        <v>558</v>
      </c>
      <c r="F3" s="41" t="s">
        <v>559</v>
      </c>
      <c r="G3" s="41" t="s">
        <v>560</v>
      </c>
      <c r="H3" s="41" t="s">
        <v>561</v>
      </c>
      <c r="I3" s="41" t="s">
        <v>562</v>
      </c>
      <c r="J3" s="41" t="s">
        <v>563</v>
      </c>
      <c r="K3" s="41" t="s">
        <v>564</v>
      </c>
      <c r="L3" s="41" t="s">
        <v>565</v>
      </c>
      <c r="M3" s="41" t="s">
        <v>566</v>
      </c>
      <c r="N3" s="41" t="s">
        <v>567</v>
      </c>
      <c r="O3" s="41" t="s">
        <v>568</v>
      </c>
      <c r="P3" s="41" t="s">
        <v>569</v>
      </c>
      <c r="Q3" s="41" t="s">
        <v>570</v>
      </c>
      <c r="R3" s="41" t="s">
        <v>571</v>
      </c>
      <c r="S3" s="41" t="s">
        <v>572</v>
      </c>
      <c r="T3" s="41" t="s">
        <v>573</v>
      </c>
      <c r="U3" s="41" t="s">
        <v>574</v>
      </c>
      <c r="V3" s="41" t="s">
        <v>575</v>
      </c>
      <c r="W3" s="41" t="s">
        <v>576</v>
      </c>
      <c r="X3" s="41" t="s">
        <v>577</v>
      </c>
      <c r="Y3" s="41" t="s">
        <v>578</v>
      </c>
      <c r="Z3" s="41" t="s">
        <v>579</v>
      </c>
      <c r="AA3" s="41" t="s">
        <v>580</v>
      </c>
      <c r="AB3" s="41" t="s">
        <v>581</v>
      </c>
      <c r="AC3" s="41" t="s">
        <v>582</v>
      </c>
      <c r="AD3" s="41" t="s">
        <v>583</v>
      </c>
      <c r="AE3" s="41" t="s">
        <v>584</v>
      </c>
      <c r="AF3" s="41" t="s">
        <v>585</v>
      </c>
      <c r="AG3" s="41" t="s">
        <v>586</v>
      </c>
      <c r="AH3" s="41" t="s">
        <v>587</v>
      </c>
      <c r="AI3" s="41" t="s">
        <v>588</v>
      </c>
      <c r="AJ3" s="41" t="s">
        <v>589</v>
      </c>
      <c r="AK3" s="41" t="s">
        <v>590</v>
      </c>
      <c r="AL3" s="41" t="s">
        <v>591</v>
      </c>
      <c r="AM3" s="41" t="s">
        <v>592</v>
      </c>
      <c r="AN3" s="41" t="s">
        <v>593</v>
      </c>
      <c r="AO3" s="41" t="s">
        <v>594</v>
      </c>
      <c r="AP3" s="41" t="s">
        <v>595</v>
      </c>
      <c r="AQ3" s="41" t="s">
        <v>596</v>
      </c>
      <c r="AR3" s="41" t="s">
        <v>597</v>
      </c>
      <c r="AS3" s="41" t="s">
        <v>598</v>
      </c>
      <c r="AT3" s="43" t="s">
        <v>442</v>
      </c>
    </row>
    <row r="4" customFormat="false" ht="8.75" hidden="false" customHeight="true" outlineLevel="0" collapsed="false">
      <c r="A4" s="45" t="str">
        <f aca="false">A3</f>
        <v>A</v>
      </c>
      <c r="B4" s="46" t="n">
        <f aca="false">B3</f>
        <v>0</v>
      </c>
      <c r="C4" s="46" t="str">
        <f aca="false">C3</f>
        <v>L / BL /BBL</v>
      </c>
      <c r="D4" s="46" t="str">
        <f aca="false">D3</f>
        <v>Date</v>
      </c>
      <c r="E4" s="46" t="str">
        <f aca="false">E3</f>
        <v>D1</v>
      </c>
      <c r="F4" s="46" t="str">
        <f aca="false">F3</f>
        <v>D2</v>
      </c>
      <c r="G4" s="46"/>
      <c r="H4" s="46" t="str">
        <f aca="false">H3</f>
        <v>D4</v>
      </c>
      <c r="I4" s="46" t="str">
        <f aca="false">I3</f>
        <v>D5</v>
      </c>
      <c r="J4" s="46" t="str">
        <f aca="false">J3</f>
        <v>D6</v>
      </c>
      <c r="K4" s="46" t="str">
        <f aca="false">K3</f>
        <v>D7</v>
      </c>
      <c r="L4" s="46" t="str">
        <f aca="false">L3</f>
        <v>D8</v>
      </c>
      <c r="M4" s="46" t="str">
        <f aca="false">M3</f>
        <v>D9</v>
      </c>
      <c r="N4" s="46" t="str">
        <f aca="false">N3</f>
        <v>D10</v>
      </c>
      <c r="O4" s="46" t="str">
        <f aca="false">O3</f>
        <v>D11</v>
      </c>
      <c r="P4" s="46" t="str">
        <f aca="false">P3</f>
        <v>D12</v>
      </c>
      <c r="Q4" s="46" t="str">
        <f aca="false">Q3</f>
        <v>D13</v>
      </c>
      <c r="R4" s="46" t="str">
        <f aca="false">R3</f>
        <v>D14</v>
      </c>
      <c r="S4" s="47" t="str">
        <f aca="false">S3</f>
        <v>D15</v>
      </c>
      <c r="T4" s="47"/>
      <c r="U4" s="47"/>
      <c r="V4" s="47"/>
      <c r="W4" s="47"/>
      <c r="X4" s="47"/>
      <c r="Y4" s="47"/>
      <c r="Z4" s="47"/>
      <c r="AA4" s="47"/>
      <c r="AB4" s="47"/>
      <c r="AC4" s="47"/>
      <c r="AD4" s="47"/>
      <c r="AE4" s="47"/>
      <c r="AF4" s="47"/>
      <c r="AG4" s="47"/>
      <c r="AH4" s="47"/>
      <c r="AI4" s="47"/>
      <c r="AJ4" s="47"/>
      <c r="AK4" s="47" t="str">
        <f aca="false">AK3</f>
        <v>D33</v>
      </c>
      <c r="AL4" s="47" t="str">
        <f aca="false">AL3</f>
        <v>D34</v>
      </c>
      <c r="AM4" s="47" t="str">
        <f aca="false">AM3</f>
        <v>D35</v>
      </c>
      <c r="AN4" s="45" t="str">
        <f aca="false">AN3</f>
        <v>D36</v>
      </c>
      <c r="AO4" s="45"/>
      <c r="AP4" s="45"/>
      <c r="AQ4" s="45"/>
      <c r="AR4" s="45"/>
      <c r="AS4" s="46" t="str">
        <f aca="false">AS3</f>
        <v>Comment</v>
      </c>
      <c r="AT4" s="47" t="str">
        <f aca="false">AT3</f>
        <v>Z</v>
      </c>
    </row>
    <row r="5" customFormat="false" ht="14.15" hidden="false" customHeight="true" outlineLevel="0" collapsed="false">
      <c r="A5" s="63"/>
      <c r="B5" s="49"/>
      <c r="C5" s="49"/>
      <c r="D5" s="54"/>
      <c r="E5" s="66"/>
      <c r="F5" s="66"/>
      <c r="G5" s="66"/>
      <c r="H5" s="66"/>
      <c r="I5" s="66"/>
      <c r="J5" s="66"/>
      <c r="K5" s="66"/>
      <c r="L5" s="66"/>
      <c r="M5" s="66"/>
      <c r="N5" s="66"/>
      <c r="O5" s="66"/>
      <c r="P5" s="66"/>
      <c r="Q5" s="66"/>
      <c r="R5" s="67"/>
      <c r="S5" s="68"/>
      <c r="T5" s="68"/>
      <c r="U5" s="68"/>
      <c r="V5" s="68"/>
      <c r="W5" s="68"/>
      <c r="X5" s="68"/>
      <c r="Y5" s="68"/>
      <c r="Z5" s="68"/>
      <c r="AA5" s="68"/>
      <c r="AB5" s="68"/>
      <c r="AC5" s="68"/>
      <c r="AD5" s="68"/>
      <c r="AE5" s="68"/>
      <c r="AF5" s="68"/>
      <c r="AG5" s="68"/>
      <c r="AH5" s="68"/>
      <c r="AI5" s="68"/>
      <c r="AJ5" s="68"/>
      <c r="AK5" s="69"/>
      <c r="AL5" s="69"/>
      <c r="AM5" s="68"/>
      <c r="AN5" s="68"/>
      <c r="AO5" s="68"/>
      <c r="AP5" s="68"/>
      <c r="AQ5" s="68"/>
      <c r="AR5" s="68"/>
      <c r="AS5" s="70"/>
      <c r="AT5" s="56" t="s">
        <v>450</v>
      </c>
    </row>
    <row r="6" customFormat="false" ht="14.15" hidden="false" customHeight="true" outlineLevel="0" collapsed="false">
      <c r="A6" s="63"/>
      <c r="B6" s="49"/>
      <c r="C6" s="49"/>
      <c r="D6" s="54"/>
      <c r="E6" s="66"/>
      <c r="F6" s="66"/>
      <c r="G6" s="66"/>
      <c r="H6" s="66"/>
      <c r="I6" s="66"/>
      <c r="J6" s="66"/>
      <c r="K6" s="66"/>
      <c r="L6" s="66"/>
      <c r="M6" s="66"/>
      <c r="N6" s="66"/>
      <c r="O6" s="66"/>
      <c r="P6" s="66"/>
      <c r="Q6" s="66"/>
      <c r="R6" s="67"/>
      <c r="S6" s="68"/>
      <c r="T6" s="68"/>
      <c r="U6" s="68"/>
      <c r="V6" s="68"/>
      <c r="W6" s="68"/>
      <c r="X6" s="68"/>
      <c r="Y6" s="68"/>
      <c r="Z6" s="68"/>
      <c r="AA6" s="68"/>
      <c r="AB6" s="68"/>
      <c r="AC6" s="68"/>
      <c r="AD6" s="68"/>
      <c r="AE6" s="68"/>
      <c r="AF6" s="68"/>
      <c r="AG6" s="68"/>
      <c r="AH6" s="68"/>
      <c r="AI6" s="68"/>
      <c r="AJ6" s="68"/>
      <c r="AK6" s="69"/>
      <c r="AL6" s="69"/>
      <c r="AM6" s="68"/>
      <c r="AN6" s="68"/>
      <c r="AO6" s="68"/>
      <c r="AP6" s="68"/>
      <c r="AQ6" s="68"/>
      <c r="AR6" s="68"/>
      <c r="AS6" s="70"/>
      <c r="AT6" s="56" t="s">
        <v>450</v>
      </c>
    </row>
    <row r="7" customFormat="false" ht="14.15" hidden="false" customHeight="true" outlineLevel="0" collapsed="false">
      <c r="A7" s="63"/>
      <c r="B7" s="49"/>
      <c r="C7" s="49"/>
      <c r="D7" s="54"/>
      <c r="E7" s="66"/>
      <c r="F7" s="66"/>
      <c r="G7" s="66"/>
      <c r="H7" s="66"/>
      <c r="I7" s="66"/>
      <c r="J7" s="66"/>
      <c r="K7" s="66"/>
      <c r="L7" s="66"/>
      <c r="M7" s="66"/>
      <c r="N7" s="66"/>
      <c r="O7" s="66"/>
      <c r="P7" s="66"/>
      <c r="Q7" s="66"/>
      <c r="R7" s="67"/>
      <c r="S7" s="68"/>
      <c r="T7" s="68"/>
      <c r="U7" s="68"/>
      <c r="V7" s="68"/>
      <c r="W7" s="68"/>
      <c r="X7" s="68"/>
      <c r="Y7" s="68"/>
      <c r="Z7" s="68"/>
      <c r="AA7" s="68"/>
      <c r="AB7" s="68"/>
      <c r="AC7" s="68"/>
      <c r="AD7" s="68"/>
      <c r="AE7" s="68"/>
      <c r="AF7" s="68"/>
      <c r="AG7" s="68"/>
      <c r="AH7" s="68"/>
      <c r="AI7" s="68"/>
      <c r="AJ7" s="68"/>
      <c r="AK7" s="69"/>
      <c r="AL7" s="69"/>
      <c r="AM7" s="68"/>
      <c r="AN7" s="68"/>
      <c r="AO7" s="68"/>
      <c r="AP7" s="68"/>
      <c r="AQ7" s="68"/>
      <c r="AR7" s="68"/>
      <c r="AS7" s="70"/>
      <c r="AT7" s="56" t="s">
        <v>450</v>
      </c>
    </row>
    <row r="8" customFormat="false" ht="14.15" hidden="false" customHeight="true" outlineLevel="0" collapsed="false">
      <c r="A8" s="71"/>
      <c r="B8" s="71" t="s">
        <v>599</v>
      </c>
      <c r="C8" s="72"/>
      <c r="D8" s="73" t="str">
        <f aca="false">D3</f>
        <v>Date</v>
      </c>
      <c r="E8" s="73" t="str">
        <f aca="false">E3</f>
        <v>D1</v>
      </c>
      <c r="F8" s="73" t="str">
        <f aca="false">F3</f>
        <v>D2</v>
      </c>
      <c r="G8" s="73" t="str">
        <f aca="false">G3</f>
        <v>D3</v>
      </c>
      <c r="H8" s="73" t="str">
        <f aca="false">H3</f>
        <v>D4</v>
      </c>
      <c r="I8" s="73" t="str">
        <f aca="false">I3</f>
        <v>D5</v>
      </c>
      <c r="J8" s="73" t="str">
        <f aca="false">J3</f>
        <v>D6</v>
      </c>
      <c r="K8" s="73" t="str">
        <f aca="false">K3</f>
        <v>D7</v>
      </c>
      <c r="L8" s="73" t="str">
        <f aca="false">L3</f>
        <v>D8</v>
      </c>
      <c r="M8" s="73" t="str">
        <f aca="false">M3</f>
        <v>D9</v>
      </c>
      <c r="N8" s="73" t="str">
        <f aca="false">N3</f>
        <v>D10</v>
      </c>
      <c r="O8" s="73" t="str">
        <f aca="false">O3</f>
        <v>D11</v>
      </c>
      <c r="P8" s="73" t="str">
        <f aca="false">P3</f>
        <v>D12</v>
      </c>
      <c r="Q8" s="73" t="str">
        <f aca="false">Q3</f>
        <v>D13</v>
      </c>
      <c r="R8" s="73" t="str">
        <f aca="false">R3</f>
        <v>D14</v>
      </c>
      <c r="S8" s="73" t="str">
        <f aca="false">S3</f>
        <v>D15</v>
      </c>
      <c r="T8" s="73" t="str">
        <f aca="false">T3</f>
        <v>D16</v>
      </c>
      <c r="U8" s="73" t="str">
        <f aca="false">U3</f>
        <v>D17</v>
      </c>
      <c r="V8" s="73" t="str">
        <f aca="false">V3</f>
        <v>D18</v>
      </c>
      <c r="W8" s="73" t="str">
        <f aca="false">W3</f>
        <v>D19</v>
      </c>
      <c r="X8" s="73" t="str">
        <f aca="false">X3</f>
        <v>D20</v>
      </c>
      <c r="Y8" s="73" t="str">
        <f aca="false">Y3</f>
        <v>D21</v>
      </c>
      <c r="Z8" s="73" t="str">
        <f aca="false">Z3</f>
        <v>D22</v>
      </c>
      <c r="AA8" s="73" t="str">
        <f aca="false">AA3</f>
        <v>D23</v>
      </c>
      <c r="AB8" s="73" t="str">
        <f aca="false">AB3</f>
        <v>D24</v>
      </c>
      <c r="AC8" s="73" t="str">
        <f aca="false">AC3</f>
        <v>D25</v>
      </c>
      <c r="AD8" s="73" t="str">
        <f aca="false">AD3</f>
        <v>D26</v>
      </c>
      <c r="AE8" s="73" t="str">
        <f aca="false">AE3</f>
        <v>D27</v>
      </c>
      <c r="AF8" s="73" t="str">
        <f aca="false">AF3</f>
        <v>D28</v>
      </c>
      <c r="AG8" s="73" t="str">
        <f aca="false">AG3</f>
        <v>D29</v>
      </c>
      <c r="AH8" s="73" t="str">
        <f aca="false">AH3</f>
        <v>D30</v>
      </c>
      <c r="AI8" s="73" t="str">
        <f aca="false">AI3</f>
        <v>D31</v>
      </c>
      <c r="AJ8" s="73" t="str">
        <f aca="false">AJ3</f>
        <v>D32</v>
      </c>
      <c r="AK8" s="73" t="str">
        <f aca="false">AK3</f>
        <v>D33</v>
      </c>
      <c r="AL8" s="73" t="str">
        <f aca="false">AL3</f>
        <v>D34</v>
      </c>
      <c r="AM8" s="73" t="str">
        <f aca="false">AM3</f>
        <v>D35</v>
      </c>
      <c r="AN8" s="73" t="str">
        <f aca="false">AN3</f>
        <v>D36</v>
      </c>
      <c r="AO8" s="73" t="str">
        <f aca="false">AO3</f>
        <v>D37</v>
      </c>
      <c r="AP8" s="73" t="str">
        <f aca="false">AP3</f>
        <v>D38</v>
      </c>
      <c r="AQ8" s="73" t="str">
        <f aca="false">AQ3</f>
        <v>D39</v>
      </c>
      <c r="AR8" s="73" t="str">
        <f aca="false">AR3</f>
        <v>D40</v>
      </c>
      <c r="AS8" s="73" t="str">
        <f aca="false">AS3</f>
        <v>Comment</v>
      </c>
      <c r="AT8" s="72" t="s">
        <v>450</v>
      </c>
    </row>
    <row r="9" customFormat="false" ht="14.15" hidden="false" customHeight="true" outlineLevel="0" collapsed="false">
      <c r="A9" s="63"/>
      <c r="B9" s="49"/>
      <c r="C9" s="49" t="s">
        <v>600</v>
      </c>
      <c r="D9" s="49" t="n">
        <f aca="false">VLOOKUP($C9,$C$13:$AS$43,D$2,0)</f>
        <v>44956</v>
      </c>
      <c r="E9" s="70" t="str">
        <f aca="false">VLOOKUP($C9,$C$13:$AS$43,E$2,0)</f>
        <v>sdf</v>
      </c>
      <c r="F9" s="70" t="str">
        <f aca="false">VLOOKUP($C9,$C$13:$AS$43,F$2,0)</f>
        <v>sdf</v>
      </c>
      <c r="G9" s="70" t="str">
        <f aca="false">VLOOKUP($C9,$C$13:$AS$43,G$2,0)</f>
        <v>sdf</v>
      </c>
      <c r="H9" s="70" t="str">
        <f aca="false">VLOOKUP($C9,$C$13:$AS$43,H$2,0)</f>
        <v>sdf</v>
      </c>
      <c r="I9" s="70" t="str">
        <f aca="false">VLOOKUP($C9,$C$13:$AS$43,I$2,0)</f>
        <v>sdf</v>
      </c>
      <c r="J9" s="70" t="str">
        <f aca="false">VLOOKUP($C9,$C$13:$AS$43,J$2,0)</f>
        <v>sdf</v>
      </c>
      <c r="K9" s="70" t="str">
        <f aca="false">VLOOKUP($C9,$C$13:$AS$43,K$2,0)</f>
        <v>sdf</v>
      </c>
      <c r="L9" s="70" t="str">
        <f aca="false">VLOOKUP($C9,$C$13:$AS$43,L$2,0)</f>
        <v>sdf</v>
      </c>
      <c r="M9" s="70" t="str">
        <f aca="false">VLOOKUP($C9,$C$13:$AS$43,M$2,0)</f>
        <v>sdf</v>
      </c>
      <c r="N9" s="70" t="str">
        <f aca="false">VLOOKUP($C9,$C$13:$AS$43,N$2,0)</f>
        <v>sdf</v>
      </c>
      <c r="O9" s="70" t="str">
        <f aca="false">VLOOKUP($C9,$C$13:$AS$43,O$2,0)</f>
        <v>sdf</v>
      </c>
      <c r="P9" s="70" t="str">
        <f aca="false">VLOOKUP($C9,$C$13:$AS$43,P$2,0)</f>
        <v>sdf</v>
      </c>
      <c r="Q9" s="70" t="str">
        <f aca="false">VLOOKUP($C9,$C$13:$AS$43,Q$2,0)</f>
        <v>sdf</v>
      </c>
      <c r="R9" s="70" t="str">
        <f aca="false">VLOOKUP($C9,$C$13:$AS$43,R$2,0)</f>
        <v>sdf</v>
      </c>
      <c r="S9" s="70" t="str">
        <f aca="false">VLOOKUP($C9,$C$13:$AS$43,S$2,0)</f>
        <v>sdf</v>
      </c>
      <c r="T9" s="70" t="str">
        <f aca="false">VLOOKUP($C9,$C$13:$AS$43,T$2,0)</f>
        <v>sdf</v>
      </c>
      <c r="U9" s="70" t="str">
        <f aca="false">VLOOKUP($C9,$C$13:$AS$43,U$2,0)</f>
        <v>sdf</v>
      </c>
      <c r="V9" s="70" t="str">
        <f aca="false">VLOOKUP($C9,$C$13:$AS$43,V$2,0)</f>
        <v>sdf</v>
      </c>
      <c r="W9" s="70" t="str">
        <f aca="false">VLOOKUP($C9,$C$13:$AS$43,W$2,0)</f>
        <v>sdf</v>
      </c>
      <c r="X9" s="70" t="str">
        <f aca="false">VLOOKUP($C9,$C$13:$AS$43,X$2,0)</f>
        <v>sdf</v>
      </c>
      <c r="Y9" s="70" t="str">
        <f aca="false">VLOOKUP($C9,$C$13:$AS$43,Y$2,0)</f>
        <v>sdf</v>
      </c>
      <c r="Z9" s="70" t="str">
        <f aca="false">VLOOKUP($C9,$C$13:$AS$43,Z$2,0)</f>
        <v>sdf</v>
      </c>
      <c r="AA9" s="70" t="str">
        <f aca="false">VLOOKUP($C9,$C$13:$AS$43,AA$2,0)</f>
        <v>sdf</v>
      </c>
      <c r="AB9" s="70" t="str">
        <f aca="false">VLOOKUP($C9,$C$13:$AS$43,AB$2,0)</f>
        <v>sdf</v>
      </c>
      <c r="AC9" s="70" t="str">
        <f aca="false">VLOOKUP($C9,$C$13:$AS$43,AC$2,0)</f>
        <v>sdf</v>
      </c>
      <c r="AD9" s="70" t="str">
        <f aca="false">VLOOKUP($C9,$C$13:$AS$43,AD$2,0)</f>
        <v>sdf</v>
      </c>
      <c r="AE9" s="70" t="str">
        <f aca="false">VLOOKUP($C9,$C$13:$AS$43,AE$2,0)</f>
        <v>sdf</v>
      </c>
      <c r="AF9" s="70" t="str">
        <f aca="false">VLOOKUP($C9,$C$13:$AS$43,AF$2,0)</f>
        <v>sdf</v>
      </c>
      <c r="AG9" s="70" t="str">
        <f aca="false">VLOOKUP($C9,$C$13:$AS$43,AG$2,0)</f>
        <v>sdf</v>
      </c>
      <c r="AH9" s="70" t="str">
        <f aca="false">VLOOKUP($C9,$C$13:$AS$43,AH$2,0)</f>
        <v>sdf</v>
      </c>
      <c r="AI9" s="70" t="str">
        <f aca="false">VLOOKUP($C9,$C$13:$AS$43,AI$2,0)</f>
        <v>sdf</v>
      </c>
      <c r="AJ9" s="70" t="str">
        <f aca="false">VLOOKUP($C9,$C$13:$AS$43,AJ$2,0)</f>
        <v>sdf</v>
      </c>
      <c r="AK9" s="70" t="str">
        <f aca="false">VLOOKUP($C9,$C$13:$AS$43,AK$2,0)</f>
        <v>sdf</v>
      </c>
      <c r="AL9" s="70" t="str">
        <f aca="false">VLOOKUP($C9,$C$13:$AS$43,AL$2,0)</f>
        <v>sdf</v>
      </c>
      <c r="AM9" s="70" t="str">
        <f aca="false">VLOOKUP($C9,$C$13:$AS$43,AM$2,0)</f>
        <v>sdf</v>
      </c>
      <c r="AN9" s="70" t="str">
        <f aca="false">VLOOKUP($C9,$C$13:$AS$43,AN$2,0)</f>
        <v>sdf</v>
      </c>
      <c r="AO9" s="70" t="str">
        <f aca="false">VLOOKUP($C9,$C$13:$AS$43,AO$2,0)</f>
        <v>sdf</v>
      </c>
      <c r="AP9" s="70" t="str">
        <f aca="false">VLOOKUP($C9,$C$13:$AS$43,AP$2,0)</f>
        <v>sdf</v>
      </c>
      <c r="AQ9" s="70" t="str">
        <f aca="false">VLOOKUP($C9,$C$13:$AS$43,AQ$2,0)</f>
        <v>sdf</v>
      </c>
      <c r="AR9" s="70" t="str">
        <f aca="false">VLOOKUP($C9,$C$13:$AS$43,AR$2,0)</f>
        <v>sdf</v>
      </c>
      <c r="AS9" s="70" t="str">
        <f aca="false">VLOOKUP($C9,$C$13:$AS$43,AS$2,0)</f>
        <v>sdf</v>
      </c>
      <c r="AT9" s="56" t="s">
        <v>450</v>
      </c>
    </row>
    <row r="10" customFormat="false" ht="14.15" hidden="false" customHeight="true" outlineLevel="0" collapsed="false">
      <c r="A10" s="63"/>
      <c r="B10" s="49"/>
      <c r="C10" s="49" t="s">
        <v>601</v>
      </c>
      <c r="D10" s="49" t="n">
        <f aca="false">VLOOKUP($C10,$C$13:$AS$43,D$2,0)</f>
        <v>44957</v>
      </c>
      <c r="E10" s="70" t="n">
        <f aca="false">VLOOKUP($C10,$C$13:$AS$43,E$2,0)</f>
        <v>1</v>
      </c>
      <c r="F10" s="70" t="n">
        <f aca="false">VLOOKUP($C10,$C$13:$AS$43,F$2,0)</f>
        <v>2</v>
      </c>
      <c r="G10" s="70" t="n">
        <f aca="false">VLOOKUP($C10,$C$13:$AS$43,G$2,0)</f>
        <v>1</v>
      </c>
      <c r="H10" s="70" t="n">
        <f aca="false">VLOOKUP($C10,$C$13:$AS$43,H$2,0)</f>
        <v>1</v>
      </c>
      <c r="I10" s="70" t="n">
        <f aca="false">VLOOKUP($C10,$C$13:$AS$43,I$2,0)</f>
        <v>1</v>
      </c>
      <c r="J10" s="70" t="n">
        <f aca="false">VLOOKUP($C10,$C$13:$AS$43,J$2,0)</f>
        <v>1</v>
      </c>
      <c r="K10" s="70" t="n">
        <f aca="false">VLOOKUP($C10,$C$13:$AS$43,K$2,0)</f>
        <v>1</v>
      </c>
      <c r="L10" s="70" t="n">
        <f aca="false">VLOOKUP($C10,$C$13:$AS$43,L$2,0)</f>
        <v>1</v>
      </c>
      <c r="M10" s="70" t="n">
        <f aca="false">VLOOKUP($C10,$C$13:$AS$43,M$2,0)</f>
        <v>1</v>
      </c>
      <c r="N10" s="70" t="n">
        <f aca="false">VLOOKUP($C10,$C$13:$AS$43,N$2,0)</f>
        <v>1</v>
      </c>
      <c r="O10" s="70" t="n">
        <f aca="false">VLOOKUP($C10,$C$13:$AS$43,O$2,0)</f>
        <v>1</v>
      </c>
      <c r="P10" s="70" t="n">
        <f aca="false">VLOOKUP($C10,$C$13:$AS$43,P$2,0)</f>
        <v>1</v>
      </c>
      <c r="Q10" s="70" t="n">
        <f aca="false">VLOOKUP($C10,$C$13:$AS$43,Q$2,0)</f>
        <v>1</v>
      </c>
      <c r="R10" s="70" t="n">
        <f aca="false">VLOOKUP($C10,$C$13:$AS$43,R$2,0)</f>
        <v>1</v>
      </c>
      <c r="S10" s="70" t="n">
        <f aca="false">VLOOKUP($C10,$C$13:$AS$43,S$2,0)</f>
        <v>1</v>
      </c>
      <c r="T10" s="70" t="n">
        <f aca="false">VLOOKUP($C10,$C$13:$AS$43,T$2,0)</f>
        <v>1</v>
      </c>
      <c r="U10" s="70" t="n">
        <f aca="false">VLOOKUP($C10,$C$13:$AS$43,U$2,0)</f>
        <v>1</v>
      </c>
      <c r="V10" s="70" t="n">
        <f aca="false">VLOOKUP($C10,$C$13:$AS$43,V$2,0)</f>
        <v>1</v>
      </c>
      <c r="W10" s="70" t="n">
        <f aca="false">VLOOKUP($C10,$C$13:$AS$43,W$2,0)</f>
        <v>1</v>
      </c>
      <c r="X10" s="70" t="n">
        <f aca="false">VLOOKUP($C10,$C$13:$AS$43,X$2,0)</f>
        <v>1</v>
      </c>
      <c r="Y10" s="70" t="n">
        <f aca="false">VLOOKUP($C10,$C$13:$AS$43,Y$2,0)</f>
        <v>1</v>
      </c>
      <c r="Z10" s="70" t="n">
        <f aca="false">VLOOKUP($C10,$C$13:$AS$43,Z$2,0)</f>
        <v>1</v>
      </c>
      <c r="AA10" s="70" t="n">
        <f aca="false">VLOOKUP($C10,$C$13:$AS$43,AA$2,0)</f>
        <v>1</v>
      </c>
      <c r="AB10" s="70" t="n">
        <f aca="false">VLOOKUP($C10,$C$13:$AS$43,AB$2,0)</f>
        <v>1</v>
      </c>
      <c r="AC10" s="70" t="n">
        <f aca="false">VLOOKUP($C10,$C$13:$AS$43,AC$2,0)</f>
        <v>1</v>
      </c>
      <c r="AD10" s="70" t="n">
        <f aca="false">VLOOKUP($C10,$C$13:$AS$43,AD$2,0)</f>
        <v>1</v>
      </c>
      <c r="AE10" s="70" t="n">
        <f aca="false">VLOOKUP($C10,$C$13:$AS$43,AE$2,0)</f>
        <v>1</v>
      </c>
      <c r="AF10" s="70" t="n">
        <f aca="false">VLOOKUP($C10,$C$13:$AS$43,AF$2,0)</f>
        <v>1</v>
      </c>
      <c r="AG10" s="70" t="n">
        <f aca="false">VLOOKUP($C10,$C$13:$AS$43,AG$2,0)</f>
        <v>1</v>
      </c>
      <c r="AH10" s="70" t="n">
        <f aca="false">VLOOKUP($C10,$C$13:$AS$43,AH$2,0)</f>
        <v>1</v>
      </c>
      <c r="AI10" s="70" t="n">
        <f aca="false">VLOOKUP($C10,$C$13:$AS$43,AI$2,0)</f>
        <v>1</v>
      </c>
      <c r="AJ10" s="70" t="n">
        <f aca="false">VLOOKUP($C10,$C$13:$AS$43,AJ$2,0)</f>
        <v>1</v>
      </c>
      <c r="AK10" s="70" t="n">
        <f aca="false">VLOOKUP($C10,$C$13:$AS$43,AK$2,0)</f>
        <v>1</v>
      </c>
      <c r="AL10" s="70" t="n">
        <f aca="false">VLOOKUP($C10,$C$13:$AS$43,AL$2,0)</f>
        <v>1</v>
      </c>
      <c r="AM10" s="70" t="n">
        <f aca="false">VLOOKUP($C10,$C$13:$AS$43,AM$2,0)</f>
        <v>1</v>
      </c>
      <c r="AN10" s="70" t="n">
        <f aca="false">VLOOKUP($C10,$C$13:$AS$43,AN$2,0)</f>
        <v>1</v>
      </c>
      <c r="AO10" s="70" t="n">
        <f aca="false">VLOOKUP($C10,$C$13:$AS$43,AO$2,0)</f>
        <v>1</v>
      </c>
      <c r="AP10" s="70" t="n">
        <f aca="false">VLOOKUP($C10,$C$13:$AS$43,AP$2,0)</f>
        <v>1</v>
      </c>
      <c r="AQ10" s="70" t="n">
        <f aca="false">VLOOKUP($C10,$C$13:$AS$43,AQ$2,0)</f>
        <v>1</v>
      </c>
      <c r="AR10" s="70" t="n">
        <f aca="false">VLOOKUP($C10,$C$13:$AS$43,AR$2,0)</f>
        <v>1</v>
      </c>
      <c r="AS10" s="70" t="n">
        <f aca="false">VLOOKUP($C10,$C$13:$AS$43,AS$2,0)</f>
        <v>1</v>
      </c>
      <c r="AT10" s="56" t="s">
        <v>450</v>
      </c>
    </row>
    <row r="11" customFormat="false" ht="14.15" hidden="false" customHeight="true" outlineLevel="0" collapsed="false">
      <c r="A11" s="63"/>
      <c r="B11" s="49"/>
      <c r="C11" s="49" t="s">
        <v>602</v>
      </c>
      <c r="D11" s="49" t="n">
        <f aca="false">VLOOKUP($C11,$C$13:$AS$43,D$2,0)</f>
        <v>44958</v>
      </c>
      <c r="E11" s="70" t="n">
        <f aca="false">VLOOKUP($C11,$C$13:$AS$43,E$2,0)</f>
        <v>2</v>
      </c>
      <c r="F11" s="70" t="n">
        <f aca="false">VLOOKUP($C11,$C$13:$AS$43,F$2,0)</f>
        <v>3</v>
      </c>
      <c r="G11" s="70" t="n">
        <f aca="false">VLOOKUP($C11,$C$13:$AS$43,G$2,0)</f>
        <v>2</v>
      </c>
      <c r="H11" s="70" t="n">
        <f aca="false">VLOOKUP($C11,$C$13:$AS$43,H$2,0)</f>
        <v>2</v>
      </c>
      <c r="I11" s="70" t="n">
        <f aca="false">VLOOKUP($C11,$C$13:$AS$43,I$2,0)</f>
        <v>2</v>
      </c>
      <c r="J11" s="70" t="n">
        <f aca="false">VLOOKUP($C11,$C$13:$AS$43,J$2,0)</f>
        <v>2</v>
      </c>
      <c r="K11" s="70" t="n">
        <f aca="false">VLOOKUP($C11,$C$13:$AS$43,K$2,0)</f>
        <v>2</v>
      </c>
      <c r="L11" s="70" t="n">
        <f aca="false">VLOOKUP($C11,$C$13:$AS$43,L$2,0)</f>
        <v>2</v>
      </c>
      <c r="M11" s="70" t="n">
        <f aca="false">VLOOKUP($C11,$C$13:$AS$43,M$2,0)</f>
        <v>2</v>
      </c>
      <c r="N11" s="70" t="n">
        <f aca="false">VLOOKUP($C11,$C$13:$AS$43,N$2,0)</f>
        <v>2</v>
      </c>
      <c r="O11" s="70" t="n">
        <f aca="false">VLOOKUP($C11,$C$13:$AS$43,O$2,0)</f>
        <v>2</v>
      </c>
      <c r="P11" s="70" t="n">
        <f aca="false">VLOOKUP($C11,$C$13:$AS$43,P$2,0)</f>
        <v>2</v>
      </c>
      <c r="Q11" s="70" t="n">
        <f aca="false">VLOOKUP($C11,$C$13:$AS$43,Q$2,0)</f>
        <v>2</v>
      </c>
      <c r="R11" s="70" t="n">
        <f aca="false">VLOOKUP($C11,$C$13:$AS$43,R$2,0)</f>
        <v>2</v>
      </c>
      <c r="S11" s="70" t="n">
        <f aca="false">VLOOKUP($C11,$C$13:$AS$43,S$2,0)</f>
        <v>2</v>
      </c>
      <c r="T11" s="70" t="n">
        <f aca="false">VLOOKUP($C11,$C$13:$AS$43,T$2,0)</f>
        <v>2</v>
      </c>
      <c r="U11" s="70" t="n">
        <f aca="false">VLOOKUP($C11,$C$13:$AS$43,U$2,0)</f>
        <v>2</v>
      </c>
      <c r="V11" s="70" t="n">
        <f aca="false">VLOOKUP($C11,$C$13:$AS$43,V$2,0)</f>
        <v>2</v>
      </c>
      <c r="W11" s="70" t="n">
        <f aca="false">VLOOKUP($C11,$C$13:$AS$43,W$2,0)</f>
        <v>2</v>
      </c>
      <c r="X11" s="70" t="n">
        <f aca="false">VLOOKUP($C11,$C$13:$AS$43,X$2,0)</f>
        <v>2</v>
      </c>
      <c r="Y11" s="70" t="n">
        <f aca="false">VLOOKUP($C11,$C$13:$AS$43,Y$2,0)</f>
        <v>2</v>
      </c>
      <c r="Z11" s="70" t="n">
        <f aca="false">VLOOKUP($C11,$C$13:$AS$43,Z$2,0)</f>
        <v>2</v>
      </c>
      <c r="AA11" s="70" t="n">
        <f aca="false">VLOOKUP($C11,$C$13:$AS$43,AA$2,0)</f>
        <v>2</v>
      </c>
      <c r="AB11" s="70" t="n">
        <f aca="false">VLOOKUP($C11,$C$13:$AS$43,AB$2,0)</f>
        <v>2</v>
      </c>
      <c r="AC11" s="70" t="n">
        <f aca="false">VLOOKUP($C11,$C$13:$AS$43,AC$2,0)</f>
        <v>2</v>
      </c>
      <c r="AD11" s="70" t="n">
        <f aca="false">VLOOKUP($C11,$C$13:$AS$43,AD$2,0)</f>
        <v>2</v>
      </c>
      <c r="AE11" s="70" t="n">
        <f aca="false">VLOOKUP($C11,$C$13:$AS$43,AE$2,0)</f>
        <v>2</v>
      </c>
      <c r="AF11" s="70" t="n">
        <f aca="false">VLOOKUP($C11,$C$13:$AS$43,AF$2,0)</f>
        <v>2</v>
      </c>
      <c r="AG11" s="70" t="n">
        <f aca="false">VLOOKUP($C11,$C$13:$AS$43,AG$2,0)</f>
        <v>2</v>
      </c>
      <c r="AH11" s="70" t="n">
        <f aca="false">VLOOKUP($C11,$C$13:$AS$43,AH$2,0)</f>
        <v>2</v>
      </c>
      <c r="AI11" s="70" t="n">
        <f aca="false">VLOOKUP($C11,$C$13:$AS$43,AI$2,0)</f>
        <v>2</v>
      </c>
      <c r="AJ11" s="70" t="n">
        <f aca="false">VLOOKUP($C11,$C$13:$AS$43,AJ$2,0)</f>
        <v>2</v>
      </c>
      <c r="AK11" s="70" t="n">
        <f aca="false">VLOOKUP($C11,$C$13:$AS$43,AK$2,0)</f>
        <v>2</v>
      </c>
      <c r="AL11" s="70" t="n">
        <f aca="false">VLOOKUP($C11,$C$13:$AS$43,AL$2,0)</f>
        <v>2</v>
      </c>
      <c r="AM11" s="70" t="n">
        <f aca="false">VLOOKUP($C11,$C$13:$AS$43,AM$2,0)</f>
        <v>2</v>
      </c>
      <c r="AN11" s="70" t="n">
        <f aca="false">VLOOKUP($C11,$C$13:$AS$43,AN$2,0)</f>
        <v>2</v>
      </c>
      <c r="AO11" s="70" t="n">
        <f aca="false">VLOOKUP($C11,$C$13:$AS$43,AO$2,0)</f>
        <v>2</v>
      </c>
      <c r="AP11" s="70" t="n">
        <f aca="false">VLOOKUP($C11,$C$13:$AS$43,AP$2,0)</f>
        <v>2</v>
      </c>
      <c r="AQ11" s="70" t="n">
        <f aca="false">VLOOKUP($C11,$C$13:$AS$43,AQ$2,0)</f>
        <v>2</v>
      </c>
      <c r="AR11" s="70" t="n">
        <f aca="false">VLOOKUP($C11,$C$13:$AS$43,AR$2,0)</f>
        <v>2</v>
      </c>
      <c r="AS11" s="70" t="n">
        <f aca="false">VLOOKUP($C11,$C$13:$AS$43,AS$2,0)</f>
        <v>2</v>
      </c>
      <c r="AT11" s="56" t="s">
        <v>450</v>
      </c>
    </row>
    <row r="12" customFormat="false" ht="14.15" hidden="false" customHeight="true" outlineLevel="0" collapsed="false">
      <c r="A12" s="74"/>
      <c r="B12" s="71" t="s">
        <v>603</v>
      </c>
      <c r="C12" s="75"/>
      <c r="D12" s="73" t="str">
        <f aca="false">D3</f>
        <v>Date</v>
      </c>
      <c r="E12" s="73" t="str">
        <f aca="false">E8</f>
        <v>D1</v>
      </c>
      <c r="F12" s="73" t="str">
        <f aca="false">F8</f>
        <v>D2</v>
      </c>
      <c r="G12" s="73" t="str">
        <f aca="false">G8</f>
        <v>D3</v>
      </c>
      <c r="H12" s="73" t="str">
        <f aca="false">H8</f>
        <v>D4</v>
      </c>
      <c r="I12" s="73" t="str">
        <f aca="false">I8</f>
        <v>D5</v>
      </c>
      <c r="J12" s="73" t="str">
        <f aca="false">J8</f>
        <v>D6</v>
      </c>
      <c r="K12" s="73" t="str">
        <f aca="false">K8</f>
        <v>D7</v>
      </c>
      <c r="L12" s="73" t="str">
        <f aca="false">L8</f>
        <v>D8</v>
      </c>
      <c r="M12" s="73" t="str">
        <f aca="false">M8</f>
        <v>D9</v>
      </c>
      <c r="N12" s="73" t="str">
        <f aca="false">N8</f>
        <v>D10</v>
      </c>
      <c r="O12" s="73" t="str">
        <f aca="false">O8</f>
        <v>D11</v>
      </c>
      <c r="P12" s="73" t="str">
        <f aca="false">P8</f>
        <v>D12</v>
      </c>
      <c r="Q12" s="73" t="str">
        <f aca="false">Q8</f>
        <v>D13</v>
      </c>
      <c r="R12" s="73" t="str">
        <f aca="false">R8</f>
        <v>D14</v>
      </c>
      <c r="S12" s="73" t="str">
        <f aca="false">S8</f>
        <v>D15</v>
      </c>
      <c r="T12" s="73" t="str">
        <f aca="false">T8</f>
        <v>D16</v>
      </c>
      <c r="U12" s="73" t="str">
        <f aca="false">U8</f>
        <v>D17</v>
      </c>
      <c r="V12" s="73" t="str">
        <f aca="false">V8</f>
        <v>D18</v>
      </c>
      <c r="W12" s="73" t="str">
        <f aca="false">W8</f>
        <v>D19</v>
      </c>
      <c r="X12" s="73" t="str">
        <f aca="false">X8</f>
        <v>D20</v>
      </c>
      <c r="Y12" s="73" t="str">
        <f aca="false">Y8</f>
        <v>D21</v>
      </c>
      <c r="Z12" s="73" t="str">
        <f aca="false">Z8</f>
        <v>D22</v>
      </c>
      <c r="AA12" s="73" t="str">
        <f aca="false">AA8</f>
        <v>D23</v>
      </c>
      <c r="AB12" s="73" t="str">
        <f aca="false">AB8</f>
        <v>D24</v>
      </c>
      <c r="AC12" s="73" t="str">
        <f aca="false">AC8</f>
        <v>D25</v>
      </c>
      <c r="AD12" s="73" t="str">
        <f aca="false">AD8</f>
        <v>D26</v>
      </c>
      <c r="AE12" s="73" t="str">
        <f aca="false">AE8</f>
        <v>D27</v>
      </c>
      <c r="AF12" s="73" t="str">
        <f aca="false">AF8</f>
        <v>D28</v>
      </c>
      <c r="AG12" s="73" t="str">
        <f aca="false">AG8</f>
        <v>D29</v>
      </c>
      <c r="AH12" s="73" t="str">
        <f aca="false">AH8</f>
        <v>D30</v>
      </c>
      <c r="AI12" s="73" t="str">
        <f aca="false">AI8</f>
        <v>D31</v>
      </c>
      <c r="AJ12" s="73" t="str">
        <f aca="false">AJ8</f>
        <v>D32</v>
      </c>
      <c r="AK12" s="73" t="str">
        <f aca="false">AK8</f>
        <v>D33</v>
      </c>
      <c r="AL12" s="73" t="str">
        <f aca="false">AL8</f>
        <v>D34</v>
      </c>
      <c r="AM12" s="73" t="str">
        <f aca="false">AM8</f>
        <v>D35</v>
      </c>
      <c r="AN12" s="73" t="str">
        <f aca="false">AN8</f>
        <v>D36</v>
      </c>
      <c r="AO12" s="73" t="str">
        <f aca="false">AO8</f>
        <v>D37</v>
      </c>
      <c r="AP12" s="73" t="str">
        <f aca="false">AP8</f>
        <v>D38</v>
      </c>
      <c r="AQ12" s="73" t="str">
        <f aca="false">AQ8</f>
        <v>D39</v>
      </c>
      <c r="AR12" s="73" t="str">
        <f aca="false">AR8</f>
        <v>D40</v>
      </c>
      <c r="AS12" s="73" t="str">
        <f aca="false">AS8</f>
        <v>Comment</v>
      </c>
      <c r="AT12" s="73"/>
    </row>
    <row r="13" customFormat="false" ht="14.15" hidden="false" customHeight="true" outlineLevel="0" collapsed="false">
      <c r="A13" s="63"/>
      <c r="B13" s="49"/>
      <c r="C13" s="49" t="str">
        <f aca="false">IF(AND(E13&lt;&gt;"",E14=""),"L",IF(AND(E14&lt;&gt;"",E15=""),"BL",IF(AND(E15&lt;&gt;"",E15&lt;&gt;"",E16=""),"BBL"," - ")))</f>
        <v>-</v>
      </c>
      <c r="D13" s="54" t="n">
        <v>44946</v>
      </c>
      <c r="E13" s="66" t="s">
        <v>604</v>
      </c>
      <c r="F13" s="66" t="s">
        <v>604</v>
      </c>
      <c r="G13" s="66" t="s">
        <v>604</v>
      </c>
      <c r="H13" s="66" t="s">
        <v>604</v>
      </c>
      <c r="I13" s="66" t="s">
        <v>604</v>
      </c>
      <c r="J13" s="66" t="s">
        <v>604</v>
      </c>
      <c r="K13" s="66" t="s">
        <v>604</v>
      </c>
      <c r="L13" s="66" t="s">
        <v>604</v>
      </c>
      <c r="M13" s="66" t="s">
        <v>604</v>
      </c>
      <c r="N13" s="66" t="s">
        <v>604</v>
      </c>
      <c r="O13" s="66" t="s">
        <v>604</v>
      </c>
      <c r="P13" s="66" t="s">
        <v>604</v>
      </c>
      <c r="Q13" s="66" t="s">
        <v>604</v>
      </c>
      <c r="R13" s="66" t="s">
        <v>604</v>
      </c>
      <c r="S13" s="66" t="s">
        <v>604</v>
      </c>
      <c r="T13" s="66" t="s">
        <v>604</v>
      </c>
      <c r="U13" s="66" t="s">
        <v>604</v>
      </c>
      <c r="V13" s="66" t="s">
        <v>604</v>
      </c>
      <c r="W13" s="66" t="s">
        <v>604</v>
      </c>
      <c r="X13" s="66" t="s">
        <v>604</v>
      </c>
      <c r="Y13" s="66" t="s">
        <v>604</v>
      </c>
      <c r="Z13" s="66" t="s">
        <v>604</v>
      </c>
      <c r="AA13" s="66" t="s">
        <v>604</v>
      </c>
      <c r="AB13" s="66" t="s">
        <v>604</v>
      </c>
      <c r="AC13" s="66" t="s">
        <v>604</v>
      </c>
      <c r="AD13" s="66" t="s">
        <v>604</v>
      </c>
      <c r="AE13" s="66" t="s">
        <v>604</v>
      </c>
      <c r="AF13" s="66" t="s">
        <v>604</v>
      </c>
      <c r="AG13" s="66" t="s">
        <v>604</v>
      </c>
      <c r="AH13" s="66" t="s">
        <v>604</v>
      </c>
      <c r="AI13" s="66" t="s">
        <v>604</v>
      </c>
      <c r="AJ13" s="66" t="s">
        <v>604</v>
      </c>
      <c r="AK13" s="66" t="s">
        <v>604</v>
      </c>
      <c r="AL13" s="66" t="s">
        <v>604</v>
      </c>
      <c r="AM13" s="66" t="s">
        <v>604</v>
      </c>
      <c r="AN13" s="66" t="s">
        <v>604</v>
      </c>
      <c r="AO13" s="66" t="s">
        <v>604</v>
      </c>
      <c r="AP13" s="66" t="s">
        <v>604</v>
      </c>
      <c r="AQ13" s="66" t="s">
        <v>604</v>
      </c>
      <c r="AR13" s="66" t="s">
        <v>604</v>
      </c>
      <c r="AS13" s="66" t="s">
        <v>604</v>
      </c>
      <c r="AT13" s="56" t="s">
        <v>450</v>
      </c>
    </row>
    <row r="14" customFormat="false" ht="14.15" hidden="false" customHeight="true" outlineLevel="0" collapsed="false">
      <c r="A14" s="63"/>
      <c r="B14" s="49"/>
      <c r="C14" s="49" t="str">
        <f aca="false">IF(AND(E14&lt;&gt;"",E15=""),"L",IF(AND(E15&lt;&gt;"",E16=""),"BL",IF(AND(E16&lt;&gt;"",E16&lt;&gt;"",E17=""),"BBL"," - ")))</f>
        <v>-</v>
      </c>
      <c r="D14" s="54" t="n">
        <v>44947</v>
      </c>
      <c r="E14" s="66" t="s">
        <v>604</v>
      </c>
      <c r="F14" s="66" t="s">
        <v>604</v>
      </c>
      <c r="G14" s="66" t="s">
        <v>604</v>
      </c>
      <c r="H14" s="66" t="s">
        <v>604</v>
      </c>
      <c r="I14" s="66" t="s">
        <v>604</v>
      </c>
      <c r="J14" s="66" t="s">
        <v>604</v>
      </c>
      <c r="K14" s="66" t="s">
        <v>604</v>
      </c>
      <c r="L14" s="66" t="s">
        <v>604</v>
      </c>
      <c r="M14" s="66" t="s">
        <v>604</v>
      </c>
      <c r="N14" s="66" t="s">
        <v>604</v>
      </c>
      <c r="O14" s="66" t="s">
        <v>604</v>
      </c>
      <c r="P14" s="66" t="s">
        <v>604</v>
      </c>
      <c r="Q14" s="66" t="s">
        <v>604</v>
      </c>
      <c r="R14" s="66" t="s">
        <v>604</v>
      </c>
      <c r="S14" s="66" t="s">
        <v>604</v>
      </c>
      <c r="T14" s="66" t="s">
        <v>604</v>
      </c>
      <c r="U14" s="66" t="s">
        <v>604</v>
      </c>
      <c r="V14" s="66" t="s">
        <v>604</v>
      </c>
      <c r="W14" s="66" t="s">
        <v>604</v>
      </c>
      <c r="X14" s="66" t="s">
        <v>604</v>
      </c>
      <c r="Y14" s="66" t="s">
        <v>604</v>
      </c>
      <c r="Z14" s="66" t="s">
        <v>604</v>
      </c>
      <c r="AA14" s="66" t="s">
        <v>604</v>
      </c>
      <c r="AB14" s="66" t="s">
        <v>604</v>
      </c>
      <c r="AC14" s="66" t="s">
        <v>604</v>
      </c>
      <c r="AD14" s="66" t="s">
        <v>604</v>
      </c>
      <c r="AE14" s="66" t="s">
        <v>604</v>
      </c>
      <c r="AF14" s="66" t="s">
        <v>604</v>
      </c>
      <c r="AG14" s="66" t="s">
        <v>604</v>
      </c>
      <c r="AH14" s="66" t="s">
        <v>604</v>
      </c>
      <c r="AI14" s="66" t="s">
        <v>604</v>
      </c>
      <c r="AJ14" s="66" t="s">
        <v>604</v>
      </c>
      <c r="AK14" s="66" t="s">
        <v>604</v>
      </c>
      <c r="AL14" s="66" t="s">
        <v>604</v>
      </c>
      <c r="AM14" s="66" t="s">
        <v>604</v>
      </c>
      <c r="AN14" s="66" t="s">
        <v>604</v>
      </c>
      <c r="AO14" s="66" t="s">
        <v>604</v>
      </c>
      <c r="AP14" s="66" t="s">
        <v>604</v>
      </c>
      <c r="AQ14" s="66" t="s">
        <v>604</v>
      </c>
      <c r="AR14" s="66" t="s">
        <v>604</v>
      </c>
      <c r="AS14" s="66" t="s">
        <v>604</v>
      </c>
      <c r="AT14" s="56" t="s">
        <v>450</v>
      </c>
    </row>
    <row r="15" customFormat="false" ht="14.15" hidden="false" customHeight="true" outlineLevel="0" collapsed="false">
      <c r="A15" s="63"/>
      <c r="B15" s="49"/>
      <c r="C15" s="49" t="str">
        <f aca="false">IF(AND(E15&lt;&gt;"",E16=""),"L",IF(AND(E16&lt;&gt;"",E17=""),"BL",IF(AND(E17&lt;&gt;"",E17&lt;&gt;"",E18=""),"BBL"," - ")))</f>
        <v>-</v>
      </c>
      <c r="D15" s="54" t="n">
        <v>44948</v>
      </c>
      <c r="E15" s="66" t="s">
        <v>604</v>
      </c>
      <c r="F15" s="66" t="s">
        <v>604</v>
      </c>
      <c r="G15" s="66" t="s">
        <v>604</v>
      </c>
      <c r="H15" s="66" t="s">
        <v>604</v>
      </c>
      <c r="I15" s="66" t="s">
        <v>604</v>
      </c>
      <c r="J15" s="66" t="s">
        <v>604</v>
      </c>
      <c r="K15" s="66" t="s">
        <v>604</v>
      </c>
      <c r="L15" s="66" t="s">
        <v>604</v>
      </c>
      <c r="M15" s="66" t="s">
        <v>604</v>
      </c>
      <c r="N15" s="66" t="s">
        <v>604</v>
      </c>
      <c r="O15" s="66" t="s">
        <v>604</v>
      </c>
      <c r="P15" s="66" t="s">
        <v>604</v>
      </c>
      <c r="Q15" s="66" t="s">
        <v>604</v>
      </c>
      <c r="R15" s="66" t="s">
        <v>604</v>
      </c>
      <c r="S15" s="66" t="s">
        <v>604</v>
      </c>
      <c r="T15" s="66" t="s">
        <v>604</v>
      </c>
      <c r="U15" s="66" t="s">
        <v>604</v>
      </c>
      <c r="V15" s="66" t="s">
        <v>604</v>
      </c>
      <c r="W15" s="66" t="s">
        <v>604</v>
      </c>
      <c r="X15" s="66" t="s">
        <v>604</v>
      </c>
      <c r="Y15" s="66" t="s">
        <v>604</v>
      </c>
      <c r="Z15" s="66" t="s">
        <v>604</v>
      </c>
      <c r="AA15" s="66" t="s">
        <v>604</v>
      </c>
      <c r="AB15" s="66" t="s">
        <v>604</v>
      </c>
      <c r="AC15" s="66" t="s">
        <v>604</v>
      </c>
      <c r="AD15" s="66" t="s">
        <v>604</v>
      </c>
      <c r="AE15" s="66" t="s">
        <v>604</v>
      </c>
      <c r="AF15" s="66" t="s">
        <v>604</v>
      </c>
      <c r="AG15" s="66" t="s">
        <v>604</v>
      </c>
      <c r="AH15" s="66" t="s">
        <v>604</v>
      </c>
      <c r="AI15" s="66" t="s">
        <v>604</v>
      </c>
      <c r="AJ15" s="66" t="s">
        <v>604</v>
      </c>
      <c r="AK15" s="66" t="s">
        <v>604</v>
      </c>
      <c r="AL15" s="66" t="s">
        <v>604</v>
      </c>
      <c r="AM15" s="66" t="s">
        <v>604</v>
      </c>
      <c r="AN15" s="66" t="s">
        <v>604</v>
      </c>
      <c r="AO15" s="66" t="s">
        <v>604</v>
      </c>
      <c r="AP15" s="66" t="s">
        <v>604</v>
      </c>
      <c r="AQ15" s="66" t="s">
        <v>604</v>
      </c>
      <c r="AR15" s="66" t="s">
        <v>604</v>
      </c>
      <c r="AS15" s="66" t="s">
        <v>604</v>
      </c>
      <c r="AT15" s="56" t="s">
        <v>450</v>
      </c>
    </row>
    <row r="16" customFormat="false" ht="14.15" hidden="false" customHeight="true" outlineLevel="0" collapsed="false">
      <c r="A16" s="63"/>
      <c r="B16" s="49"/>
      <c r="C16" s="49" t="str">
        <f aca="false">IF(AND(E16&lt;&gt;"",E17=""),"L",IF(AND(E17&lt;&gt;"",E18=""),"BL",IF(AND(E18&lt;&gt;"",E18&lt;&gt;"",E19=""),"BBL"," - ")))</f>
        <v>-</v>
      </c>
      <c r="D16" s="54" t="n">
        <v>44949</v>
      </c>
      <c r="E16" s="66" t="s">
        <v>605</v>
      </c>
      <c r="F16" s="66" t="s">
        <v>605</v>
      </c>
      <c r="G16" s="66" t="s">
        <v>605</v>
      </c>
      <c r="H16" s="66" t="s">
        <v>605</v>
      </c>
      <c r="I16" s="66" t="s">
        <v>605</v>
      </c>
      <c r="J16" s="66" t="s">
        <v>605</v>
      </c>
      <c r="K16" s="66" t="s">
        <v>605</v>
      </c>
      <c r="L16" s="66" t="s">
        <v>605</v>
      </c>
      <c r="M16" s="66" t="s">
        <v>605</v>
      </c>
      <c r="N16" s="66" t="s">
        <v>605</v>
      </c>
      <c r="O16" s="66" t="s">
        <v>605</v>
      </c>
      <c r="P16" s="66" t="s">
        <v>605</v>
      </c>
      <c r="Q16" s="66" t="s">
        <v>605</v>
      </c>
      <c r="R16" s="66" t="s">
        <v>605</v>
      </c>
      <c r="S16" s="66" t="s">
        <v>605</v>
      </c>
      <c r="T16" s="66" t="s">
        <v>605</v>
      </c>
      <c r="U16" s="66" t="s">
        <v>605</v>
      </c>
      <c r="V16" s="66" t="s">
        <v>605</v>
      </c>
      <c r="W16" s="66" t="s">
        <v>605</v>
      </c>
      <c r="X16" s="66" t="s">
        <v>605</v>
      </c>
      <c r="Y16" s="66" t="s">
        <v>605</v>
      </c>
      <c r="Z16" s="66" t="s">
        <v>605</v>
      </c>
      <c r="AA16" s="66" t="s">
        <v>605</v>
      </c>
      <c r="AB16" s="66" t="s">
        <v>605</v>
      </c>
      <c r="AC16" s="66" t="s">
        <v>605</v>
      </c>
      <c r="AD16" s="66" t="s">
        <v>605</v>
      </c>
      <c r="AE16" s="66" t="s">
        <v>605</v>
      </c>
      <c r="AF16" s="66" t="s">
        <v>605</v>
      </c>
      <c r="AG16" s="66" t="s">
        <v>605</v>
      </c>
      <c r="AH16" s="66" t="s">
        <v>605</v>
      </c>
      <c r="AI16" s="66" t="s">
        <v>605</v>
      </c>
      <c r="AJ16" s="66" t="s">
        <v>605</v>
      </c>
      <c r="AK16" s="66" t="s">
        <v>605</v>
      </c>
      <c r="AL16" s="66" t="s">
        <v>605</v>
      </c>
      <c r="AM16" s="66" t="s">
        <v>605</v>
      </c>
      <c r="AN16" s="66" t="s">
        <v>605</v>
      </c>
      <c r="AO16" s="66" t="s">
        <v>605</v>
      </c>
      <c r="AP16" s="66" t="s">
        <v>605</v>
      </c>
      <c r="AQ16" s="66" t="s">
        <v>605</v>
      </c>
      <c r="AR16" s="66" t="s">
        <v>605</v>
      </c>
      <c r="AS16" s="66" t="s">
        <v>605</v>
      </c>
      <c r="AT16" s="56" t="s">
        <v>450</v>
      </c>
    </row>
    <row r="17" customFormat="false" ht="14.15" hidden="false" customHeight="true" outlineLevel="0" collapsed="false">
      <c r="A17" s="63"/>
      <c r="B17" s="49"/>
      <c r="C17" s="49" t="str">
        <f aca="false">IF(AND(E17&lt;&gt;"",E18=""),"L",IF(AND(E18&lt;&gt;"",E19=""),"BL",IF(AND(E19&lt;&gt;"",E19&lt;&gt;"",E20=""),"BBL"," - ")))</f>
        <v>-</v>
      </c>
      <c r="D17" s="54" t="n">
        <v>44950</v>
      </c>
      <c r="E17" s="66" t="s">
        <v>604</v>
      </c>
      <c r="F17" s="66" t="s">
        <v>604</v>
      </c>
      <c r="G17" s="66" t="s">
        <v>604</v>
      </c>
      <c r="H17" s="66" t="s">
        <v>604</v>
      </c>
      <c r="I17" s="66" t="s">
        <v>604</v>
      </c>
      <c r="J17" s="66" t="s">
        <v>604</v>
      </c>
      <c r="K17" s="66" t="s">
        <v>604</v>
      </c>
      <c r="L17" s="66" t="s">
        <v>604</v>
      </c>
      <c r="M17" s="66" t="s">
        <v>604</v>
      </c>
      <c r="N17" s="66" t="s">
        <v>604</v>
      </c>
      <c r="O17" s="66" t="s">
        <v>604</v>
      </c>
      <c r="P17" s="66" t="s">
        <v>604</v>
      </c>
      <c r="Q17" s="66" t="s">
        <v>604</v>
      </c>
      <c r="R17" s="66" t="s">
        <v>604</v>
      </c>
      <c r="S17" s="66" t="s">
        <v>604</v>
      </c>
      <c r="T17" s="66" t="s">
        <v>604</v>
      </c>
      <c r="U17" s="66" t="s">
        <v>604</v>
      </c>
      <c r="V17" s="66" t="s">
        <v>604</v>
      </c>
      <c r="W17" s="66" t="s">
        <v>604</v>
      </c>
      <c r="X17" s="66" t="s">
        <v>604</v>
      </c>
      <c r="Y17" s="66" t="s">
        <v>604</v>
      </c>
      <c r="Z17" s="66" t="s">
        <v>604</v>
      </c>
      <c r="AA17" s="66" t="s">
        <v>604</v>
      </c>
      <c r="AB17" s="66" t="s">
        <v>604</v>
      </c>
      <c r="AC17" s="66" t="s">
        <v>604</v>
      </c>
      <c r="AD17" s="66" t="s">
        <v>604</v>
      </c>
      <c r="AE17" s="66" t="s">
        <v>604</v>
      </c>
      <c r="AF17" s="66" t="s">
        <v>604</v>
      </c>
      <c r="AG17" s="66" t="s">
        <v>604</v>
      </c>
      <c r="AH17" s="66" t="s">
        <v>604</v>
      </c>
      <c r="AI17" s="66" t="s">
        <v>604</v>
      </c>
      <c r="AJ17" s="66" t="s">
        <v>604</v>
      </c>
      <c r="AK17" s="66" t="s">
        <v>604</v>
      </c>
      <c r="AL17" s="66" t="s">
        <v>604</v>
      </c>
      <c r="AM17" s="66" t="s">
        <v>604</v>
      </c>
      <c r="AN17" s="66" t="s">
        <v>604</v>
      </c>
      <c r="AO17" s="66" t="s">
        <v>604</v>
      </c>
      <c r="AP17" s="66" t="s">
        <v>604</v>
      </c>
      <c r="AQ17" s="66" t="s">
        <v>604</v>
      </c>
      <c r="AR17" s="66" t="s">
        <v>604</v>
      </c>
      <c r="AS17" s="66" t="s">
        <v>604</v>
      </c>
      <c r="AT17" s="56" t="s">
        <v>450</v>
      </c>
    </row>
    <row r="18" customFormat="false" ht="14.15" hidden="false" customHeight="true" outlineLevel="0" collapsed="false">
      <c r="A18" s="63"/>
      <c r="B18" s="49"/>
      <c r="C18" s="49" t="str">
        <f aca="false">IF(AND(E18&lt;&gt;"",E19=""),"L",IF(AND(E19&lt;&gt;"",E20=""),"BL",IF(AND(E20&lt;&gt;"",E20&lt;&gt;"",E21=""),"BBL"," - ")))</f>
        <v>-</v>
      </c>
      <c r="D18" s="54" t="n">
        <v>44951</v>
      </c>
      <c r="E18" s="66" t="s">
        <v>605</v>
      </c>
      <c r="F18" s="66" t="s">
        <v>605</v>
      </c>
      <c r="G18" s="66" t="s">
        <v>605</v>
      </c>
      <c r="H18" s="66" t="s">
        <v>605</v>
      </c>
      <c r="I18" s="66" t="s">
        <v>605</v>
      </c>
      <c r="J18" s="66" t="s">
        <v>605</v>
      </c>
      <c r="K18" s="66" t="s">
        <v>605</v>
      </c>
      <c r="L18" s="66" t="s">
        <v>605</v>
      </c>
      <c r="M18" s="66" t="s">
        <v>605</v>
      </c>
      <c r="N18" s="66" t="s">
        <v>605</v>
      </c>
      <c r="O18" s="66" t="s">
        <v>605</v>
      </c>
      <c r="P18" s="66" t="s">
        <v>605</v>
      </c>
      <c r="Q18" s="66" t="s">
        <v>605</v>
      </c>
      <c r="R18" s="66" t="s">
        <v>605</v>
      </c>
      <c r="S18" s="66" t="s">
        <v>605</v>
      </c>
      <c r="T18" s="66" t="s">
        <v>605</v>
      </c>
      <c r="U18" s="66" t="s">
        <v>605</v>
      </c>
      <c r="V18" s="66" t="s">
        <v>605</v>
      </c>
      <c r="W18" s="66" t="s">
        <v>605</v>
      </c>
      <c r="X18" s="66" t="s">
        <v>605</v>
      </c>
      <c r="Y18" s="66" t="s">
        <v>605</v>
      </c>
      <c r="Z18" s="66" t="s">
        <v>605</v>
      </c>
      <c r="AA18" s="66" t="s">
        <v>605</v>
      </c>
      <c r="AB18" s="66" t="s">
        <v>605</v>
      </c>
      <c r="AC18" s="66" t="s">
        <v>605</v>
      </c>
      <c r="AD18" s="66" t="s">
        <v>605</v>
      </c>
      <c r="AE18" s="66" t="s">
        <v>605</v>
      </c>
      <c r="AF18" s="66" t="s">
        <v>605</v>
      </c>
      <c r="AG18" s="66" t="s">
        <v>605</v>
      </c>
      <c r="AH18" s="66" t="s">
        <v>605</v>
      </c>
      <c r="AI18" s="66" t="s">
        <v>605</v>
      </c>
      <c r="AJ18" s="66" t="s">
        <v>605</v>
      </c>
      <c r="AK18" s="66" t="s">
        <v>605</v>
      </c>
      <c r="AL18" s="66" t="s">
        <v>605</v>
      </c>
      <c r="AM18" s="66" t="s">
        <v>605</v>
      </c>
      <c r="AN18" s="66" t="s">
        <v>605</v>
      </c>
      <c r="AO18" s="66" t="s">
        <v>605</v>
      </c>
      <c r="AP18" s="66" t="s">
        <v>605</v>
      </c>
      <c r="AQ18" s="66" t="s">
        <v>605</v>
      </c>
      <c r="AR18" s="66" t="s">
        <v>605</v>
      </c>
      <c r="AS18" s="66" t="s">
        <v>605</v>
      </c>
      <c r="AT18" s="56" t="s">
        <v>450</v>
      </c>
    </row>
    <row r="19" customFormat="false" ht="14.15" hidden="false" customHeight="true" outlineLevel="0" collapsed="false">
      <c r="A19" s="63"/>
      <c r="B19" s="49"/>
      <c r="C19" s="49" t="str">
        <f aca="false">IF(AND(E19&lt;&gt;"",E20=""),"L",IF(AND(E20&lt;&gt;"",E21=""),"BL",IF(AND(E21&lt;&gt;"",E21&lt;&gt;"",E22=""),"BBL"," - ")))</f>
        <v>-</v>
      </c>
      <c r="D19" s="54" t="n">
        <v>44952</v>
      </c>
      <c r="E19" s="66" t="s">
        <v>606</v>
      </c>
      <c r="F19" s="66" t="s">
        <v>606</v>
      </c>
      <c r="G19" s="66" t="s">
        <v>606</v>
      </c>
      <c r="H19" s="66" t="s">
        <v>606</v>
      </c>
      <c r="I19" s="66" t="s">
        <v>606</v>
      </c>
      <c r="J19" s="66" t="s">
        <v>606</v>
      </c>
      <c r="K19" s="66" t="s">
        <v>606</v>
      </c>
      <c r="L19" s="66" t="s">
        <v>606</v>
      </c>
      <c r="M19" s="66" t="s">
        <v>606</v>
      </c>
      <c r="N19" s="66" t="s">
        <v>606</v>
      </c>
      <c r="O19" s="66" t="s">
        <v>606</v>
      </c>
      <c r="P19" s="66" t="s">
        <v>606</v>
      </c>
      <c r="Q19" s="66" t="s">
        <v>606</v>
      </c>
      <c r="R19" s="66" t="s">
        <v>606</v>
      </c>
      <c r="S19" s="66" t="s">
        <v>606</v>
      </c>
      <c r="T19" s="66" t="s">
        <v>606</v>
      </c>
      <c r="U19" s="66" t="s">
        <v>606</v>
      </c>
      <c r="V19" s="66" t="s">
        <v>606</v>
      </c>
      <c r="W19" s="66" t="s">
        <v>606</v>
      </c>
      <c r="X19" s="66" t="s">
        <v>606</v>
      </c>
      <c r="Y19" s="66" t="s">
        <v>606</v>
      </c>
      <c r="Z19" s="66" t="s">
        <v>606</v>
      </c>
      <c r="AA19" s="66" t="s">
        <v>606</v>
      </c>
      <c r="AB19" s="66" t="s">
        <v>606</v>
      </c>
      <c r="AC19" s="66" t="s">
        <v>606</v>
      </c>
      <c r="AD19" s="66" t="s">
        <v>606</v>
      </c>
      <c r="AE19" s="66" t="s">
        <v>606</v>
      </c>
      <c r="AF19" s="66" t="s">
        <v>606</v>
      </c>
      <c r="AG19" s="66" t="s">
        <v>606</v>
      </c>
      <c r="AH19" s="66" t="s">
        <v>606</v>
      </c>
      <c r="AI19" s="66" t="s">
        <v>606</v>
      </c>
      <c r="AJ19" s="66" t="s">
        <v>606</v>
      </c>
      <c r="AK19" s="66" t="s">
        <v>606</v>
      </c>
      <c r="AL19" s="66" t="s">
        <v>606</v>
      </c>
      <c r="AM19" s="66" t="s">
        <v>606</v>
      </c>
      <c r="AN19" s="66" t="s">
        <v>606</v>
      </c>
      <c r="AO19" s="66" t="s">
        <v>606</v>
      </c>
      <c r="AP19" s="66" t="s">
        <v>606</v>
      </c>
      <c r="AQ19" s="66" t="s">
        <v>606</v>
      </c>
      <c r="AR19" s="66" t="s">
        <v>606</v>
      </c>
      <c r="AS19" s="66" t="s">
        <v>606</v>
      </c>
      <c r="AT19" s="56" t="s">
        <v>450</v>
      </c>
    </row>
    <row r="20" customFormat="false" ht="12.8" hidden="false" customHeight="false" outlineLevel="0" collapsed="false">
      <c r="B20" s="49"/>
      <c r="C20" s="49" t="str">
        <f aca="false">IF(AND(E20&lt;&gt;"",E21=""),"L",IF(AND(E21&lt;&gt;"",E22=""),"BL",IF(AND(E22&lt;&gt;"",E22&lt;&gt;"",E23=""),"BBL"," - ")))</f>
        <v>-</v>
      </c>
      <c r="D20" s="54" t="n">
        <v>44953</v>
      </c>
      <c r="E20" s="66" t="s">
        <v>607</v>
      </c>
      <c r="F20" s="66" t="s">
        <v>607</v>
      </c>
      <c r="G20" s="66" t="s">
        <v>607</v>
      </c>
      <c r="H20" s="66" t="s">
        <v>607</v>
      </c>
      <c r="I20" s="66" t="s">
        <v>607</v>
      </c>
      <c r="J20" s="66" t="s">
        <v>607</v>
      </c>
      <c r="K20" s="66" t="s">
        <v>607</v>
      </c>
      <c r="L20" s="66" t="s">
        <v>607</v>
      </c>
      <c r="M20" s="66" t="s">
        <v>607</v>
      </c>
      <c r="N20" s="66" t="s">
        <v>607</v>
      </c>
      <c r="O20" s="66" t="s">
        <v>607</v>
      </c>
      <c r="P20" s="66" t="s">
        <v>607</v>
      </c>
      <c r="Q20" s="66" t="s">
        <v>607</v>
      </c>
      <c r="R20" s="66" t="s">
        <v>607</v>
      </c>
      <c r="S20" s="66" t="s">
        <v>607</v>
      </c>
      <c r="T20" s="66" t="s">
        <v>607</v>
      </c>
      <c r="U20" s="66" t="s">
        <v>607</v>
      </c>
      <c r="V20" s="66" t="s">
        <v>607</v>
      </c>
      <c r="W20" s="66" t="s">
        <v>607</v>
      </c>
      <c r="X20" s="66" t="s">
        <v>607</v>
      </c>
      <c r="Y20" s="66" t="s">
        <v>607</v>
      </c>
      <c r="Z20" s="66" t="s">
        <v>607</v>
      </c>
      <c r="AA20" s="66" t="s">
        <v>607</v>
      </c>
      <c r="AB20" s="66" t="s">
        <v>607</v>
      </c>
      <c r="AC20" s="66" t="s">
        <v>607</v>
      </c>
      <c r="AD20" s="66" t="s">
        <v>607</v>
      </c>
      <c r="AE20" s="66" t="s">
        <v>607</v>
      </c>
      <c r="AF20" s="66" t="s">
        <v>607</v>
      </c>
      <c r="AG20" s="66" t="s">
        <v>607</v>
      </c>
      <c r="AH20" s="66" t="s">
        <v>607</v>
      </c>
      <c r="AI20" s="66" t="s">
        <v>607</v>
      </c>
      <c r="AJ20" s="66" t="s">
        <v>607</v>
      </c>
      <c r="AK20" s="66" t="s">
        <v>607</v>
      </c>
      <c r="AL20" s="66" t="s">
        <v>607</v>
      </c>
      <c r="AM20" s="66" t="s">
        <v>607</v>
      </c>
      <c r="AN20" s="66" t="s">
        <v>607</v>
      </c>
      <c r="AO20" s="66" t="s">
        <v>607</v>
      </c>
      <c r="AP20" s="66" t="s">
        <v>607</v>
      </c>
      <c r="AQ20" s="66" t="s">
        <v>607</v>
      </c>
      <c r="AR20" s="66" t="s">
        <v>607</v>
      </c>
      <c r="AS20" s="66" t="s">
        <v>607</v>
      </c>
      <c r="AT20" s="56" t="s">
        <v>450</v>
      </c>
    </row>
    <row r="21" customFormat="false" ht="12.8" hidden="false" customHeight="false" outlineLevel="0" collapsed="false">
      <c r="B21" s="49"/>
      <c r="C21" s="49" t="str">
        <f aca="false">IF(AND(E21&lt;&gt;"",E22=""),"L",IF(AND(E22&lt;&gt;"",E23=""),"BL",IF(AND(E23&lt;&gt;"",E23&lt;&gt;"",E24=""),"BBL"," - ")))</f>
        <v>-</v>
      </c>
      <c r="D21" s="54" t="n">
        <v>44954</v>
      </c>
      <c r="E21" s="66" t="s">
        <v>607</v>
      </c>
      <c r="F21" s="66" t="s">
        <v>607</v>
      </c>
      <c r="G21" s="66" t="s">
        <v>607</v>
      </c>
      <c r="H21" s="66" t="s">
        <v>607</v>
      </c>
      <c r="I21" s="66" t="s">
        <v>607</v>
      </c>
      <c r="J21" s="66" t="s">
        <v>607</v>
      </c>
      <c r="K21" s="66" t="s">
        <v>607</v>
      </c>
      <c r="L21" s="66" t="s">
        <v>607</v>
      </c>
      <c r="M21" s="66" t="s">
        <v>607</v>
      </c>
      <c r="N21" s="66" t="s">
        <v>607</v>
      </c>
      <c r="O21" s="66" t="s">
        <v>607</v>
      </c>
      <c r="P21" s="66" t="s">
        <v>607</v>
      </c>
      <c r="Q21" s="66" t="s">
        <v>607</v>
      </c>
      <c r="R21" s="66" t="s">
        <v>607</v>
      </c>
      <c r="S21" s="66" t="s">
        <v>607</v>
      </c>
      <c r="T21" s="66" t="s">
        <v>607</v>
      </c>
      <c r="U21" s="66" t="s">
        <v>607</v>
      </c>
      <c r="V21" s="66" t="s">
        <v>607</v>
      </c>
      <c r="W21" s="66" t="s">
        <v>607</v>
      </c>
      <c r="X21" s="66" t="s">
        <v>607</v>
      </c>
      <c r="Y21" s="66" t="s">
        <v>607</v>
      </c>
      <c r="Z21" s="66" t="s">
        <v>607</v>
      </c>
      <c r="AA21" s="66" t="s">
        <v>607</v>
      </c>
      <c r="AB21" s="66" t="s">
        <v>607</v>
      </c>
      <c r="AC21" s="66" t="s">
        <v>607</v>
      </c>
      <c r="AD21" s="66" t="s">
        <v>607</v>
      </c>
      <c r="AE21" s="66" t="s">
        <v>607</v>
      </c>
      <c r="AF21" s="66" t="s">
        <v>607</v>
      </c>
      <c r="AG21" s="66" t="s">
        <v>607</v>
      </c>
      <c r="AH21" s="66" t="s">
        <v>607</v>
      </c>
      <c r="AI21" s="66" t="s">
        <v>607</v>
      </c>
      <c r="AJ21" s="66" t="s">
        <v>607</v>
      </c>
      <c r="AK21" s="66" t="s">
        <v>607</v>
      </c>
      <c r="AL21" s="66" t="s">
        <v>607</v>
      </c>
      <c r="AM21" s="66" t="s">
        <v>607</v>
      </c>
      <c r="AN21" s="66" t="s">
        <v>607</v>
      </c>
      <c r="AO21" s="66" t="s">
        <v>607</v>
      </c>
      <c r="AP21" s="66" t="s">
        <v>607</v>
      </c>
      <c r="AQ21" s="66" t="s">
        <v>607</v>
      </c>
      <c r="AR21" s="66" t="s">
        <v>607</v>
      </c>
      <c r="AS21" s="66" t="s">
        <v>607</v>
      </c>
      <c r="AT21" s="56" t="s">
        <v>450</v>
      </c>
    </row>
    <row r="22" customFormat="false" ht="12.8" hidden="false" customHeight="false" outlineLevel="0" collapsed="false">
      <c r="B22" s="49"/>
      <c r="C22" s="49" t="str">
        <f aca="false">IF(AND(E22&lt;&gt;"",E23=""),"L",IF(AND(E23&lt;&gt;"",E24=""),"BL",IF(AND(E24&lt;&gt;"",E24&lt;&gt;"",E25=""),"BBL"," - ")))</f>
        <v>-</v>
      </c>
      <c r="D22" s="54" t="n">
        <v>44955</v>
      </c>
      <c r="E22" s="66" t="s">
        <v>608</v>
      </c>
      <c r="F22" s="66" t="s">
        <v>608</v>
      </c>
      <c r="G22" s="66" t="s">
        <v>608</v>
      </c>
      <c r="H22" s="66" t="s">
        <v>608</v>
      </c>
      <c r="I22" s="66" t="s">
        <v>608</v>
      </c>
      <c r="J22" s="66" t="s">
        <v>608</v>
      </c>
      <c r="K22" s="66" t="s">
        <v>608</v>
      </c>
      <c r="L22" s="66" t="s">
        <v>608</v>
      </c>
      <c r="M22" s="66" t="s">
        <v>608</v>
      </c>
      <c r="N22" s="66" t="s">
        <v>608</v>
      </c>
      <c r="O22" s="66" t="s">
        <v>608</v>
      </c>
      <c r="P22" s="66" t="s">
        <v>608</v>
      </c>
      <c r="Q22" s="66" t="s">
        <v>608</v>
      </c>
      <c r="R22" s="66" t="s">
        <v>608</v>
      </c>
      <c r="S22" s="66" t="s">
        <v>608</v>
      </c>
      <c r="T22" s="66" t="s">
        <v>608</v>
      </c>
      <c r="U22" s="66" t="s">
        <v>608</v>
      </c>
      <c r="V22" s="66" t="s">
        <v>608</v>
      </c>
      <c r="W22" s="66" t="s">
        <v>608</v>
      </c>
      <c r="X22" s="66" t="s">
        <v>608</v>
      </c>
      <c r="Y22" s="66" t="s">
        <v>608</v>
      </c>
      <c r="Z22" s="66" t="s">
        <v>608</v>
      </c>
      <c r="AA22" s="66" t="s">
        <v>608</v>
      </c>
      <c r="AB22" s="66" t="s">
        <v>608</v>
      </c>
      <c r="AC22" s="66" t="s">
        <v>608</v>
      </c>
      <c r="AD22" s="66" t="s">
        <v>608</v>
      </c>
      <c r="AE22" s="66" t="s">
        <v>608</v>
      </c>
      <c r="AF22" s="66" t="s">
        <v>608</v>
      </c>
      <c r="AG22" s="66" t="s">
        <v>608</v>
      </c>
      <c r="AH22" s="66" t="s">
        <v>608</v>
      </c>
      <c r="AI22" s="66" t="s">
        <v>608</v>
      </c>
      <c r="AJ22" s="66" t="s">
        <v>608</v>
      </c>
      <c r="AK22" s="66" t="s">
        <v>608</v>
      </c>
      <c r="AL22" s="66" t="s">
        <v>608</v>
      </c>
      <c r="AM22" s="66" t="s">
        <v>608</v>
      </c>
      <c r="AN22" s="66" t="s">
        <v>608</v>
      </c>
      <c r="AO22" s="66" t="s">
        <v>608</v>
      </c>
      <c r="AP22" s="66" t="s">
        <v>608</v>
      </c>
      <c r="AQ22" s="66" t="s">
        <v>608</v>
      </c>
      <c r="AR22" s="66" t="s">
        <v>608</v>
      </c>
      <c r="AS22" s="66" t="s">
        <v>608</v>
      </c>
      <c r="AT22" s="56" t="s">
        <v>450</v>
      </c>
    </row>
    <row r="23" customFormat="false" ht="12.8" hidden="false" customHeight="false" outlineLevel="0" collapsed="false">
      <c r="B23" s="49"/>
      <c r="C23" s="49" t="str">
        <f aca="false">IF(AND(E23&lt;&gt;"",E24=""),"L",IF(AND(E24&lt;&gt;"",E25=""),"BL",IF(AND(E25&lt;&gt;"",E25&lt;&gt;"",E26=""),"BBL"," - ")))</f>
        <v>BBL</v>
      </c>
      <c r="D23" s="54" t="n">
        <v>44956</v>
      </c>
      <c r="E23" s="66" t="s">
        <v>609</v>
      </c>
      <c r="F23" s="66" t="s">
        <v>609</v>
      </c>
      <c r="G23" s="66" t="s">
        <v>609</v>
      </c>
      <c r="H23" s="66" t="s">
        <v>609</v>
      </c>
      <c r="I23" s="66" t="s">
        <v>609</v>
      </c>
      <c r="J23" s="66" t="s">
        <v>609</v>
      </c>
      <c r="K23" s="66" t="s">
        <v>609</v>
      </c>
      <c r="L23" s="66" t="s">
        <v>609</v>
      </c>
      <c r="M23" s="66" t="s">
        <v>609</v>
      </c>
      <c r="N23" s="66" t="s">
        <v>609</v>
      </c>
      <c r="O23" s="66" t="s">
        <v>609</v>
      </c>
      <c r="P23" s="66" t="s">
        <v>609</v>
      </c>
      <c r="Q23" s="66" t="s">
        <v>609</v>
      </c>
      <c r="R23" s="66" t="s">
        <v>609</v>
      </c>
      <c r="S23" s="66" t="s">
        <v>609</v>
      </c>
      <c r="T23" s="66" t="s">
        <v>609</v>
      </c>
      <c r="U23" s="66" t="s">
        <v>609</v>
      </c>
      <c r="V23" s="66" t="s">
        <v>609</v>
      </c>
      <c r="W23" s="66" t="s">
        <v>609</v>
      </c>
      <c r="X23" s="66" t="s">
        <v>609</v>
      </c>
      <c r="Y23" s="66" t="s">
        <v>609</v>
      </c>
      <c r="Z23" s="66" t="s">
        <v>609</v>
      </c>
      <c r="AA23" s="66" t="s">
        <v>609</v>
      </c>
      <c r="AB23" s="66" t="s">
        <v>609</v>
      </c>
      <c r="AC23" s="66" t="s">
        <v>609</v>
      </c>
      <c r="AD23" s="66" t="s">
        <v>609</v>
      </c>
      <c r="AE23" s="66" t="s">
        <v>609</v>
      </c>
      <c r="AF23" s="66" t="s">
        <v>609</v>
      </c>
      <c r="AG23" s="66" t="s">
        <v>609</v>
      </c>
      <c r="AH23" s="66" t="s">
        <v>609</v>
      </c>
      <c r="AI23" s="66" t="s">
        <v>609</v>
      </c>
      <c r="AJ23" s="66" t="s">
        <v>609</v>
      </c>
      <c r="AK23" s="66" t="s">
        <v>609</v>
      </c>
      <c r="AL23" s="66" t="s">
        <v>609</v>
      </c>
      <c r="AM23" s="66" t="s">
        <v>609</v>
      </c>
      <c r="AN23" s="66" t="s">
        <v>609</v>
      </c>
      <c r="AO23" s="66" t="s">
        <v>609</v>
      </c>
      <c r="AP23" s="66" t="s">
        <v>609</v>
      </c>
      <c r="AQ23" s="66" t="s">
        <v>609</v>
      </c>
      <c r="AR23" s="66" t="s">
        <v>609</v>
      </c>
      <c r="AS23" s="66" t="s">
        <v>609</v>
      </c>
      <c r="AT23" s="56" t="s">
        <v>450</v>
      </c>
    </row>
    <row r="24" customFormat="false" ht="12.8" hidden="false" customHeight="false" outlineLevel="0" collapsed="false">
      <c r="B24" s="49"/>
      <c r="C24" s="49" t="str">
        <f aca="false">IF(AND(E24&lt;&gt;"",E25=""),"L",IF(AND(E25&lt;&gt;"",E26=""),"BL",IF(AND(E26&lt;&gt;"",E26&lt;&gt;"",E27=""),"BBL"," - ")))</f>
        <v>BL</v>
      </c>
      <c r="D24" s="54" t="n">
        <v>44957</v>
      </c>
      <c r="E24" s="66" t="n">
        <v>1</v>
      </c>
      <c r="F24" s="66" t="n">
        <v>2</v>
      </c>
      <c r="G24" s="66" t="n">
        <v>1</v>
      </c>
      <c r="H24" s="66" t="n">
        <v>1</v>
      </c>
      <c r="I24" s="66" t="n">
        <v>1</v>
      </c>
      <c r="J24" s="66" t="n">
        <v>1</v>
      </c>
      <c r="K24" s="66" t="n">
        <v>1</v>
      </c>
      <c r="L24" s="66" t="n">
        <v>1</v>
      </c>
      <c r="M24" s="66" t="n">
        <v>1</v>
      </c>
      <c r="N24" s="66" t="n">
        <v>1</v>
      </c>
      <c r="O24" s="66" t="n">
        <v>1</v>
      </c>
      <c r="P24" s="66" t="n">
        <v>1</v>
      </c>
      <c r="Q24" s="66" t="n">
        <v>1</v>
      </c>
      <c r="R24" s="66" t="n">
        <v>1</v>
      </c>
      <c r="S24" s="66" t="n">
        <v>1</v>
      </c>
      <c r="T24" s="66" t="n">
        <v>1</v>
      </c>
      <c r="U24" s="66" t="n">
        <v>1</v>
      </c>
      <c r="V24" s="66" t="n">
        <v>1</v>
      </c>
      <c r="W24" s="66" t="n">
        <v>1</v>
      </c>
      <c r="X24" s="66" t="n">
        <v>1</v>
      </c>
      <c r="Y24" s="66" t="n">
        <v>1</v>
      </c>
      <c r="Z24" s="66" t="n">
        <v>1</v>
      </c>
      <c r="AA24" s="66" t="n">
        <v>1</v>
      </c>
      <c r="AB24" s="66" t="n">
        <v>1</v>
      </c>
      <c r="AC24" s="66" t="n">
        <v>1</v>
      </c>
      <c r="AD24" s="66" t="n">
        <v>1</v>
      </c>
      <c r="AE24" s="66" t="n">
        <v>1</v>
      </c>
      <c r="AF24" s="66" t="n">
        <v>1</v>
      </c>
      <c r="AG24" s="66" t="n">
        <v>1</v>
      </c>
      <c r="AH24" s="66" t="n">
        <v>1</v>
      </c>
      <c r="AI24" s="66" t="n">
        <v>1</v>
      </c>
      <c r="AJ24" s="66" t="n">
        <v>1</v>
      </c>
      <c r="AK24" s="66" t="n">
        <v>1</v>
      </c>
      <c r="AL24" s="66" t="n">
        <v>1</v>
      </c>
      <c r="AM24" s="66" t="n">
        <v>1</v>
      </c>
      <c r="AN24" s="66" t="n">
        <v>1</v>
      </c>
      <c r="AO24" s="66" t="n">
        <v>1</v>
      </c>
      <c r="AP24" s="66" t="n">
        <v>1</v>
      </c>
      <c r="AQ24" s="66" t="n">
        <v>1</v>
      </c>
      <c r="AR24" s="66" t="n">
        <v>1</v>
      </c>
      <c r="AS24" s="66" t="n">
        <v>1</v>
      </c>
      <c r="AT24" s="56" t="s">
        <v>450</v>
      </c>
    </row>
    <row r="25" customFormat="false" ht="12.8" hidden="false" customHeight="false" outlineLevel="0" collapsed="false">
      <c r="B25" s="49"/>
      <c r="C25" s="49" t="str">
        <f aca="false">IF(AND(E25&lt;&gt;"",E26=""),"L",IF(AND(E26&lt;&gt;"",E27=""),"BL",IF(AND(E27&lt;&gt;"",E27&lt;&gt;"",E28=""),"BBL"," - ")))</f>
        <v>L</v>
      </c>
      <c r="D25" s="54" t="n">
        <v>44958</v>
      </c>
      <c r="E25" s="66" t="n">
        <v>2</v>
      </c>
      <c r="F25" s="66" t="n">
        <v>3</v>
      </c>
      <c r="G25" s="66" t="n">
        <v>2</v>
      </c>
      <c r="H25" s="66" t="n">
        <v>2</v>
      </c>
      <c r="I25" s="66" t="n">
        <v>2</v>
      </c>
      <c r="J25" s="66" t="n">
        <v>2</v>
      </c>
      <c r="K25" s="66" t="n">
        <v>2</v>
      </c>
      <c r="L25" s="66" t="n">
        <v>2</v>
      </c>
      <c r="M25" s="66" t="n">
        <v>2</v>
      </c>
      <c r="N25" s="66" t="n">
        <v>2</v>
      </c>
      <c r="O25" s="66" t="n">
        <v>2</v>
      </c>
      <c r="P25" s="66" t="n">
        <v>2</v>
      </c>
      <c r="Q25" s="66" t="n">
        <v>2</v>
      </c>
      <c r="R25" s="66" t="n">
        <v>2</v>
      </c>
      <c r="S25" s="66" t="n">
        <v>2</v>
      </c>
      <c r="T25" s="66" t="n">
        <v>2</v>
      </c>
      <c r="U25" s="66" t="n">
        <v>2</v>
      </c>
      <c r="V25" s="66" t="n">
        <v>2</v>
      </c>
      <c r="W25" s="66" t="n">
        <v>2</v>
      </c>
      <c r="X25" s="66" t="n">
        <v>2</v>
      </c>
      <c r="Y25" s="66" t="n">
        <v>2</v>
      </c>
      <c r="Z25" s="66" t="n">
        <v>2</v>
      </c>
      <c r="AA25" s="66" t="n">
        <v>2</v>
      </c>
      <c r="AB25" s="66" t="n">
        <v>2</v>
      </c>
      <c r="AC25" s="66" t="n">
        <v>2</v>
      </c>
      <c r="AD25" s="66" t="n">
        <v>2</v>
      </c>
      <c r="AE25" s="66" t="n">
        <v>2</v>
      </c>
      <c r="AF25" s="66" t="n">
        <v>2</v>
      </c>
      <c r="AG25" s="66" t="n">
        <v>2</v>
      </c>
      <c r="AH25" s="66" t="n">
        <v>2</v>
      </c>
      <c r="AI25" s="66" t="n">
        <v>2</v>
      </c>
      <c r="AJ25" s="66" t="n">
        <v>2</v>
      </c>
      <c r="AK25" s="66" t="n">
        <v>2</v>
      </c>
      <c r="AL25" s="66" t="n">
        <v>2</v>
      </c>
      <c r="AM25" s="66" t="n">
        <v>2</v>
      </c>
      <c r="AN25" s="66" t="n">
        <v>2</v>
      </c>
      <c r="AO25" s="66" t="n">
        <v>2</v>
      </c>
      <c r="AP25" s="66" t="n">
        <v>2</v>
      </c>
      <c r="AQ25" s="66" t="n">
        <v>2</v>
      </c>
      <c r="AR25" s="66" t="n">
        <v>2</v>
      </c>
      <c r="AS25" s="66" t="n">
        <v>2</v>
      </c>
      <c r="AT25" s="56" t="s">
        <v>450</v>
      </c>
    </row>
    <row r="26" customFormat="false" ht="12.8" hidden="false" customHeight="false" outlineLevel="0" collapsed="false">
      <c r="B26" s="49"/>
      <c r="C26" s="49" t="str">
        <f aca="false">IF(AND(E26&lt;&gt;"",E27=""),"L",IF(AND(E27&lt;&gt;"",E28=""),"BL",IF(AND(E28&lt;&gt;"",E28&lt;&gt;"",E29=""),"BBL"," - ")))</f>
        <v>-</v>
      </c>
      <c r="D26" s="54"/>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56" t="s">
        <v>450</v>
      </c>
    </row>
    <row r="27" customFormat="false" ht="12.8" hidden="false" customHeight="false" outlineLevel="0" collapsed="false">
      <c r="B27" s="49"/>
      <c r="C27" s="49" t="str">
        <f aca="false">IF(AND(E27&lt;&gt;"",E28=""),"L",IF(AND(E28&lt;&gt;"",E29=""),"BL",IF(AND(E29&lt;&gt;"",E29&lt;&gt;"",E30=""),"BBL"," - ")))</f>
        <v>-</v>
      </c>
      <c r="D27" s="54"/>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56" t="s">
        <v>450</v>
      </c>
    </row>
    <row r="28" customFormat="false" ht="12.8" hidden="false" customHeight="false" outlineLevel="0" collapsed="false">
      <c r="B28" s="49"/>
      <c r="C28" s="49" t="str">
        <f aca="false">IF(AND(E28&lt;&gt;"",E29=""),"L",IF(AND(E29&lt;&gt;"",E30=""),"BL",IF(AND(E30&lt;&gt;"",E30&lt;&gt;"",E31=""),"BBL"," - ")))</f>
        <v>-</v>
      </c>
      <c r="D28" s="54"/>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56" t="s">
        <v>450</v>
      </c>
    </row>
    <row r="29" customFormat="false" ht="12.8" hidden="false" customHeight="false" outlineLevel="0" collapsed="false">
      <c r="B29" s="49"/>
      <c r="C29" s="49" t="str">
        <f aca="false">IF(AND(E29&lt;&gt;"",E30=""),"L",IF(AND(E30&lt;&gt;"",E31=""),"BL",IF(AND(E31&lt;&gt;"",E31&lt;&gt;"",E32=""),"BBL"," - ")))</f>
        <v>-</v>
      </c>
      <c r="D29" s="54"/>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56" t="s">
        <v>450</v>
      </c>
    </row>
    <row r="30" customFormat="false" ht="12.8" hidden="false" customHeight="false" outlineLevel="0" collapsed="false">
      <c r="B30" s="49"/>
      <c r="C30" s="49" t="str">
        <f aca="false">IF(AND(E30&lt;&gt;"",E31=""),"L",IF(AND(E31&lt;&gt;"",E32=""),"BL",IF(AND(E32&lt;&gt;"",E32&lt;&gt;"",E33=""),"BBL"," - ")))</f>
        <v>-</v>
      </c>
      <c r="D30" s="54"/>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56" t="s">
        <v>450</v>
      </c>
    </row>
    <row r="31" customFormat="false" ht="12.8" hidden="false" customHeight="false" outlineLevel="0" collapsed="false">
      <c r="B31" s="49"/>
      <c r="C31" s="49" t="str">
        <f aca="false">IF(AND(E31&lt;&gt;"",E32=""),"L",IF(AND(E32&lt;&gt;"",E33=""),"BL",IF(AND(E33&lt;&gt;"",E33&lt;&gt;"",E34=""),"BBL"," - ")))</f>
        <v>-</v>
      </c>
      <c r="D31" s="54"/>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56" t="s">
        <v>450</v>
      </c>
    </row>
    <row r="32" customFormat="false" ht="12.8" hidden="false" customHeight="false" outlineLevel="0" collapsed="false">
      <c r="B32" s="49"/>
      <c r="C32" s="49" t="str">
        <f aca="false">IF(AND(E32&lt;&gt;"",E33=""),"L",IF(AND(E33&lt;&gt;"",E34=""),"BL",IF(AND(E34&lt;&gt;"",E34&lt;&gt;"",E35=""),"BBL"," - ")))</f>
        <v>-</v>
      </c>
      <c r="D32" s="54"/>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56" t="s">
        <v>450</v>
      </c>
    </row>
    <row r="33" customFormat="false" ht="12.8" hidden="false" customHeight="false" outlineLevel="0" collapsed="false">
      <c r="B33" s="49"/>
      <c r="C33" s="49" t="str">
        <f aca="false">IF(AND(E33&lt;&gt;"",E34=""),"L",IF(AND(E34&lt;&gt;"",E35=""),"BL",IF(AND(E35&lt;&gt;"",E35&lt;&gt;"",E36=""),"BBL"," - ")))</f>
        <v>-</v>
      </c>
      <c r="D33" s="54"/>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56" t="s">
        <v>450</v>
      </c>
    </row>
    <row r="34" customFormat="false" ht="12.8" hidden="false" customHeight="false" outlineLevel="0" collapsed="false">
      <c r="B34" s="49"/>
      <c r="C34" s="49" t="str">
        <f aca="false">IF(AND(E34&lt;&gt;"",E35=""),"L",IF(AND(E35&lt;&gt;"",E36=""),"BL",IF(AND(E36&lt;&gt;"",E36&lt;&gt;"",E37=""),"BBL"," - ")))</f>
        <v>-</v>
      </c>
      <c r="D34" s="54"/>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56" t="s">
        <v>450</v>
      </c>
    </row>
    <row r="35" customFormat="false" ht="12.8" hidden="false" customHeight="false" outlineLevel="0" collapsed="false">
      <c r="B35" s="49"/>
      <c r="C35" s="49" t="str">
        <f aca="false">IF(AND(E35&lt;&gt;"",E36=""),"L",IF(AND(E36&lt;&gt;"",E37=""),"BL",IF(AND(E37&lt;&gt;"",E37&lt;&gt;"",E38=""),"BBL"," - ")))</f>
        <v>-</v>
      </c>
      <c r="D35" s="54"/>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56" t="s">
        <v>450</v>
      </c>
    </row>
    <row r="36" customFormat="false" ht="12.8" hidden="false" customHeight="false" outlineLevel="0" collapsed="false">
      <c r="B36" s="49"/>
      <c r="C36" s="49" t="str">
        <f aca="false">IF(AND(E36&lt;&gt;"",E37=""),"L",IF(AND(E37&lt;&gt;"",E38=""),"BL",IF(AND(E38&lt;&gt;"",E38&lt;&gt;"",E39=""),"BBL"," - ")))</f>
        <v>-</v>
      </c>
      <c r="D36" s="54"/>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56" t="s">
        <v>450</v>
      </c>
    </row>
    <row r="37" customFormat="false" ht="12.8" hidden="false" customHeight="false" outlineLevel="0" collapsed="false">
      <c r="B37" s="49"/>
      <c r="C37" s="49" t="str">
        <f aca="false">IF(AND(E37&lt;&gt;"",E38=""),"L",IF(AND(E38&lt;&gt;"",E39=""),"BL",IF(AND(E39&lt;&gt;"",E39&lt;&gt;"",E40=""),"BBL"," - ")))</f>
        <v>-</v>
      </c>
      <c r="D37" s="54"/>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56" t="s">
        <v>450</v>
      </c>
    </row>
    <row r="38" customFormat="false" ht="12.8" hidden="false" customHeight="false" outlineLevel="0" collapsed="false">
      <c r="B38" s="49"/>
      <c r="C38" s="49" t="str">
        <f aca="false">IF(AND(E38&lt;&gt;"",E39=""),"L",IF(AND(E39&lt;&gt;"",E40=""),"BL",IF(AND(E40&lt;&gt;"",E40&lt;&gt;"",E41=""),"BBL"," - ")))</f>
        <v>-</v>
      </c>
      <c r="D38" s="54"/>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56" t="s">
        <v>450</v>
      </c>
    </row>
    <row r="39" customFormat="false" ht="12.8" hidden="false" customHeight="false" outlineLevel="0" collapsed="false">
      <c r="B39" s="49"/>
      <c r="C39" s="49" t="str">
        <f aca="false">IF(AND(E39&lt;&gt;"",E40=""),"L",IF(AND(E40&lt;&gt;"",E41=""),"BL",IF(AND(E41&lt;&gt;"",E41&lt;&gt;"",E42=""),"BBL"," - ")))</f>
        <v>-</v>
      </c>
      <c r="D39" s="54"/>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56" t="s">
        <v>450</v>
      </c>
    </row>
    <row r="40" customFormat="false" ht="12.8" hidden="false" customHeight="false" outlineLevel="0" collapsed="false">
      <c r="B40" s="49"/>
      <c r="C40" s="49" t="str">
        <f aca="false">IF(AND(E40&lt;&gt;"",E41=""),"L",IF(AND(E41&lt;&gt;"",E42=""),"BL",IF(AND(E42&lt;&gt;"",E42&lt;&gt;"",E43=""),"BBL"," - ")))</f>
        <v>-</v>
      </c>
      <c r="D40" s="54"/>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56" t="s">
        <v>450</v>
      </c>
    </row>
    <row r="41" customFormat="false" ht="12.8" hidden="false" customHeight="false" outlineLevel="0" collapsed="false">
      <c r="B41" s="49"/>
      <c r="C41" s="49" t="str">
        <f aca="false">IF(AND(E41&lt;&gt;"",E42=""),"L",IF(AND(E42&lt;&gt;"",E43=""),"BL",IF(AND(E43&lt;&gt;"",E43&lt;&gt;"",E44=""),"BBL"," - ")))</f>
        <v>-</v>
      </c>
      <c r="D41" s="54"/>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56" t="s">
        <v>450</v>
      </c>
    </row>
    <row r="42" customFormat="false" ht="12.8" hidden="false" customHeight="false" outlineLevel="0" collapsed="false">
      <c r="B42" s="49"/>
      <c r="C42" s="49" t="str">
        <f aca="false">IF(AND(E42&lt;&gt;"",E43=""),"L",IF(AND(E43&lt;&gt;"",E44=""),"BL",IF(AND(E44&lt;&gt;"",E44&lt;&gt;"",E45=""),"BBL"," - ")))</f>
        <v>-</v>
      </c>
      <c r="D42" s="54"/>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56" t="s">
        <v>450</v>
      </c>
    </row>
    <row r="43" customFormat="false" ht="12.8" hidden="false" customHeight="false" outlineLevel="0" collapsed="false">
      <c r="B43" s="49"/>
      <c r="C43" s="49"/>
      <c r="D43" s="54"/>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56" t="s">
        <v>450</v>
      </c>
    </row>
  </sheetData>
  <autoFilter ref="A4:AT43"/>
  <dataValidations count="5">
    <dataValidation allowBlank="true" errorStyle="stop" operator="equal" showDropDown="false" showErrorMessage="true" showInputMessage="false" sqref="R5:R7" type="list">
      <formula1>Static!$I$5:$I$15</formula1>
      <formula2>0</formula2>
    </dataValidation>
    <dataValidation allowBlank="true" errorStyle="stop" operator="equal" showDropDown="false" showErrorMessage="true" showInputMessage="false" sqref="H5:H7" type="list">
      <formula1>#ref!</formula1>
      <formula2>0</formula2>
    </dataValidation>
    <dataValidation allowBlank="true" errorStyle="stop" operator="equal" showDropDown="false" showErrorMessage="true" showInputMessage="false" sqref="L5:L7" type="list">
      <formula1>#ref!</formula1>
      <formula2>0</formula2>
    </dataValidation>
    <dataValidation allowBlank="true" errorStyle="stop" operator="equal" showDropDown="false" showErrorMessage="true" showInputMessage="false" sqref="F5:F7" type="list">
      <formula1>Static!$AI$5:$AI$7</formula1>
      <formula2>0</formula2>
    </dataValidation>
    <dataValidation allowBlank="true" errorStyle="stop" operator="equal" showDropDown="false" showErrorMessage="true" showInputMessage="false" sqref="M5:Q7" type="list">
      <formula1>#ref!</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43"/>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T5" activePane="bottomRight" state="frozen"/>
      <selection pane="topLeft" activeCell="A1" activeCellId="0" sqref="A1"/>
      <selection pane="topRight" activeCell="T1" activeCellId="0" sqref="T1"/>
      <selection pane="bottomLeft" activeCell="A5" activeCellId="0" sqref="A5"/>
      <selection pane="bottomRight" activeCell="AS1" activeCellId="0" sqref="AS1"/>
    </sheetView>
  </sheetViews>
  <sheetFormatPr defaultColWidth="15.6875" defaultRowHeight="12.8" zeroHeight="false" outlineLevelRow="1" outlineLevelCol="1"/>
  <cols>
    <col collapsed="false" customWidth="true" hidden="false" outlineLevel="1" max="1" min="1" style="2" width="1.8"/>
    <col collapsed="false" customWidth="true" hidden="false" outlineLevel="1" max="2" min="2" style="31" width="7.68"/>
    <col collapsed="false" customWidth="true" hidden="false" outlineLevel="0" max="3" min="3" style="31" width="7.75"/>
    <col collapsed="false" customWidth="true" hidden="false" outlineLevel="0" max="4" min="4" style="31" width="10.82"/>
    <col collapsed="false" customWidth="true" hidden="false" outlineLevel="0" max="18" min="5" style="31" width="6.72"/>
    <col collapsed="false" customWidth="true" hidden="false" outlineLevel="0" max="36" min="19" style="2" width="6.72"/>
    <col collapsed="false" customWidth="true" hidden="false" outlineLevel="0" max="39" min="37" style="31" width="6.72"/>
    <col collapsed="false" customWidth="true" hidden="false" outlineLevel="0" max="44" min="40" style="2" width="6.72"/>
    <col collapsed="false" customWidth="true" hidden="false" outlineLevel="0" max="45" min="45" style="31" width="15.49"/>
    <col collapsed="false" customWidth="true" hidden="false" outlineLevel="0" max="46" min="46" style="0" width="2.54"/>
  </cols>
  <sheetData>
    <row r="1" s="38" customFormat="true" ht="71.45" hidden="false" customHeight="true" outlineLevel="1" collapsed="false">
      <c r="A1" s="33" t="n">
        <f aca="true">TODAY()</f>
        <v>45334</v>
      </c>
      <c r="B1" s="34" t="s">
        <v>551</v>
      </c>
      <c r="C1" s="34" t="s">
        <v>552</v>
      </c>
      <c r="D1" s="34" t="s">
        <v>553</v>
      </c>
      <c r="E1" s="34" t="s">
        <v>554</v>
      </c>
      <c r="F1" s="34" t="s">
        <v>554</v>
      </c>
      <c r="G1" s="34" t="s">
        <v>554</v>
      </c>
      <c r="H1" s="34" t="s">
        <v>554</v>
      </c>
      <c r="I1" s="34" t="s">
        <v>554</v>
      </c>
      <c r="J1" s="34" t="s">
        <v>554</v>
      </c>
      <c r="K1" s="34" t="s">
        <v>554</v>
      </c>
      <c r="L1" s="34" t="s">
        <v>554</v>
      </c>
      <c r="M1" s="34" t="s">
        <v>554</v>
      </c>
      <c r="N1" s="34" t="s">
        <v>554</v>
      </c>
      <c r="O1" s="34" t="s">
        <v>554</v>
      </c>
      <c r="P1" s="34" t="s">
        <v>554</v>
      </c>
      <c r="Q1" s="34" t="s">
        <v>554</v>
      </c>
      <c r="R1" s="34" t="s">
        <v>554</v>
      </c>
      <c r="S1" s="34" t="s">
        <v>554</v>
      </c>
      <c r="T1" s="34" t="s">
        <v>554</v>
      </c>
      <c r="U1" s="34" t="s">
        <v>554</v>
      </c>
      <c r="V1" s="34" t="s">
        <v>554</v>
      </c>
      <c r="W1" s="34" t="s">
        <v>554</v>
      </c>
      <c r="X1" s="34" t="s">
        <v>554</v>
      </c>
      <c r="Y1" s="34" t="s">
        <v>554</v>
      </c>
      <c r="Z1" s="34" t="s">
        <v>554</v>
      </c>
      <c r="AA1" s="34" t="s">
        <v>554</v>
      </c>
      <c r="AB1" s="34" t="s">
        <v>554</v>
      </c>
      <c r="AC1" s="34" t="s">
        <v>554</v>
      </c>
      <c r="AD1" s="34" t="s">
        <v>554</v>
      </c>
      <c r="AE1" s="34" t="s">
        <v>554</v>
      </c>
      <c r="AF1" s="34" t="s">
        <v>554</v>
      </c>
      <c r="AG1" s="34" t="s">
        <v>554</v>
      </c>
      <c r="AH1" s="34" t="s">
        <v>554</v>
      </c>
      <c r="AI1" s="34" t="s">
        <v>554</v>
      </c>
      <c r="AJ1" s="34" t="s">
        <v>554</v>
      </c>
      <c r="AK1" s="34" t="s">
        <v>554</v>
      </c>
      <c r="AL1" s="34" t="s">
        <v>554</v>
      </c>
      <c r="AM1" s="34" t="s">
        <v>554</v>
      </c>
      <c r="AN1" s="34" t="s">
        <v>554</v>
      </c>
      <c r="AO1" s="34" t="s">
        <v>554</v>
      </c>
      <c r="AP1" s="34" t="s">
        <v>554</v>
      </c>
      <c r="AQ1" s="34" t="s">
        <v>554</v>
      </c>
      <c r="AR1" s="34" t="s">
        <v>554</v>
      </c>
      <c r="AS1" s="34" t="s">
        <v>555</v>
      </c>
      <c r="AT1" s="36" t="s">
        <v>393</v>
      </c>
      <c r="ALX1" s="0"/>
      <c r="ALY1" s="0"/>
      <c r="ALZ1" s="0"/>
      <c r="AMA1" s="0"/>
      <c r="AMB1" s="0"/>
      <c r="AMC1" s="0"/>
      <c r="AMD1" s="0"/>
      <c r="AME1" s="0"/>
      <c r="AMF1" s="0"/>
      <c r="AMG1" s="0"/>
      <c r="AMH1" s="0"/>
      <c r="AMI1" s="0"/>
      <c r="AMJ1" s="0"/>
    </row>
    <row r="2" s="38" customFormat="true" ht="14.15" hidden="false" customHeight="true" outlineLevel="1" collapsed="false">
      <c r="A2" s="36"/>
      <c r="B2" s="34"/>
      <c r="C2" s="34" t="n">
        <v>1</v>
      </c>
      <c r="D2" s="34" t="n">
        <v>2</v>
      </c>
      <c r="E2" s="34" t="n">
        <v>3</v>
      </c>
      <c r="F2" s="34" t="n">
        <v>4</v>
      </c>
      <c r="G2" s="34" t="n">
        <v>5</v>
      </c>
      <c r="H2" s="34" t="n">
        <v>6</v>
      </c>
      <c r="I2" s="34" t="n">
        <v>7</v>
      </c>
      <c r="J2" s="34" t="n">
        <v>8</v>
      </c>
      <c r="K2" s="34" t="n">
        <v>9</v>
      </c>
      <c r="L2" s="34" t="n">
        <v>10</v>
      </c>
      <c r="M2" s="34" t="n">
        <v>11</v>
      </c>
      <c r="N2" s="34" t="n">
        <v>12</v>
      </c>
      <c r="O2" s="34" t="n">
        <v>13</v>
      </c>
      <c r="P2" s="34" t="n">
        <v>14</v>
      </c>
      <c r="Q2" s="34" t="n">
        <v>15</v>
      </c>
      <c r="R2" s="34" t="n">
        <v>16</v>
      </c>
      <c r="S2" s="34" t="n">
        <v>17</v>
      </c>
      <c r="T2" s="34" t="n">
        <v>18</v>
      </c>
      <c r="U2" s="34" t="n">
        <v>19</v>
      </c>
      <c r="V2" s="34" t="n">
        <v>20</v>
      </c>
      <c r="W2" s="34" t="n">
        <v>21</v>
      </c>
      <c r="X2" s="34" t="n">
        <v>22</v>
      </c>
      <c r="Y2" s="34" t="n">
        <v>23</v>
      </c>
      <c r="Z2" s="34" t="n">
        <v>24</v>
      </c>
      <c r="AA2" s="34" t="n">
        <v>25</v>
      </c>
      <c r="AB2" s="34" t="n">
        <v>26</v>
      </c>
      <c r="AC2" s="34" t="n">
        <v>27</v>
      </c>
      <c r="AD2" s="34" t="n">
        <v>28</v>
      </c>
      <c r="AE2" s="34" t="n">
        <v>29</v>
      </c>
      <c r="AF2" s="34" t="n">
        <v>30</v>
      </c>
      <c r="AG2" s="34" t="n">
        <v>31</v>
      </c>
      <c r="AH2" s="34" t="n">
        <v>32</v>
      </c>
      <c r="AI2" s="34" t="n">
        <v>33</v>
      </c>
      <c r="AJ2" s="34" t="n">
        <v>34</v>
      </c>
      <c r="AK2" s="34" t="n">
        <v>35</v>
      </c>
      <c r="AL2" s="34" t="n">
        <v>36</v>
      </c>
      <c r="AM2" s="34" t="n">
        <v>37</v>
      </c>
      <c r="AN2" s="34" t="n">
        <v>38</v>
      </c>
      <c r="AO2" s="34" t="n">
        <v>39</v>
      </c>
      <c r="AP2" s="34" t="n">
        <v>40</v>
      </c>
      <c r="AQ2" s="34" t="n">
        <v>41</v>
      </c>
      <c r="AR2" s="34" t="n">
        <v>42</v>
      </c>
      <c r="AS2" s="34" t="n">
        <v>43</v>
      </c>
      <c r="AT2" s="36"/>
      <c r="ALX2" s="0"/>
      <c r="ALY2" s="0"/>
      <c r="ALZ2" s="0"/>
      <c r="AMA2" s="0"/>
      <c r="AMB2" s="0"/>
      <c r="AMC2" s="0"/>
      <c r="AMD2" s="0"/>
      <c r="AME2" s="0"/>
      <c r="AMF2" s="0"/>
      <c r="AMG2" s="0"/>
      <c r="AMH2" s="0"/>
      <c r="AMI2" s="0"/>
      <c r="AMJ2" s="0"/>
    </row>
    <row r="3" customFormat="false" ht="32.2" hidden="false" customHeight="true" outlineLevel="0" collapsed="false">
      <c r="A3" s="39" t="s">
        <v>394</v>
      </c>
      <c r="B3" s="40"/>
      <c r="C3" s="41" t="s">
        <v>556</v>
      </c>
      <c r="D3" s="41" t="s">
        <v>557</v>
      </c>
      <c r="E3" s="41" t="s">
        <v>558</v>
      </c>
      <c r="F3" s="41" t="s">
        <v>559</v>
      </c>
      <c r="G3" s="41" t="s">
        <v>560</v>
      </c>
      <c r="H3" s="41" t="s">
        <v>561</v>
      </c>
      <c r="I3" s="41" t="s">
        <v>562</v>
      </c>
      <c r="J3" s="41" t="s">
        <v>563</v>
      </c>
      <c r="K3" s="41" t="s">
        <v>564</v>
      </c>
      <c r="L3" s="41" t="s">
        <v>565</v>
      </c>
      <c r="M3" s="41" t="s">
        <v>566</v>
      </c>
      <c r="N3" s="41" t="s">
        <v>567</v>
      </c>
      <c r="O3" s="41" t="s">
        <v>568</v>
      </c>
      <c r="P3" s="41" t="s">
        <v>569</v>
      </c>
      <c r="Q3" s="41" t="s">
        <v>570</v>
      </c>
      <c r="R3" s="41" t="s">
        <v>571</v>
      </c>
      <c r="S3" s="41" t="s">
        <v>572</v>
      </c>
      <c r="T3" s="41" t="s">
        <v>573</v>
      </c>
      <c r="U3" s="41" t="s">
        <v>574</v>
      </c>
      <c r="V3" s="41" t="s">
        <v>575</v>
      </c>
      <c r="W3" s="41" t="s">
        <v>576</v>
      </c>
      <c r="X3" s="41" t="s">
        <v>577</v>
      </c>
      <c r="Y3" s="41" t="s">
        <v>578</v>
      </c>
      <c r="Z3" s="41" t="s">
        <v>579</v>
      </c>
      <c r="AA3" s="41" t="s">
        <v>580</v>
      </c>
      <c r="AB3" s="41" t="s">
        <v>581</v>
      </c>
      <c r="AC3" s="41" t="s">
        <v>582</v>
      </c>
      <c r="AD3" s="41" t="s">
        <v>583</v>
      </c>
      <c r="AE3" s="41" t="s">
        <v>584</v>
      </c>
      <c r="AF3" s="41" t="s">
        <v>585</v>
      </c>
      <c r="AG3" s="41" t="s">
        <v>586</v>
      </c>
      <c r="AH3" s="41" t="s">
        <v>587</v>
      </c>
      <c r="AI3" s="41" t="s">
        <v>588</v>
      </c>
      <c r="AJ3" s="41" t="s">
        <v>589</v>
      </c>
      <c r="AK3" s="41" t="s">
        <v>590</v>
      </c>
      <c r="AL3" s="41" t="s">
        <v>591</v>
      </c>
      <c r="AM3" s="41" t="s">
        <v>592</v>
      </c>
      <c r="AN3" s="41" t="s">
        <v>593</v>
      </c>
      <c r="AO3" s="41" t="s">
        <v>594</v>
      </c>
      <c r="AP3" s="41" t="s">
        <v>595</v>
      </c>
      <c r="AQ3" s="41" t="s">
        <v>596</v>
      </c>
      <c r="AR3" s="41" t="s">
        <v>597</v>
      </c>
      <c r="AS3" s="41" t="s">
        <v>598</v>
      </c>
      <c r="AT3" s="43" t="s">
        <v>442</v>
      </c>
    </row>
    <row r="4" customFormat="false" ht="8.75" hidden="false" customHeight="true" outlineLevel="0" collapsed="false">
      <c r="A4" s="45" t="str">
        <f aca="false">A3</f>
        <v>A</v>
      </c>
      <c r="B4" s="46" t="n">
        <f aca="false">B3</f>
        <v>0</v>
      </c>
      <c r="C4" s="46" t="str">
        <f aca="false">C3</f>
        <v>L / BL /BBL</v>
      </c>
      <c r="D4" s="46" t="str">
        <f aca="false">D3</f>
        <v>Date</v>
      </c>
      <c r="E4" s="46" t="str">
        <f aca="false">E3</f>
        <v>D1</v>
      </c>
      <c r="F4" s="46" t="str">
        <f aca="false">F3</f>
        <v>D2</v>
      </c>
      <c r="G4" s="46"/>
      <c r="H4" s="46" t="str">
        <f aca="false">H3</f>
        <v>D4</v>
      </c>
      <c r="I4" s="46" t="str">
        <f aca="false">I3</f>
        <v>D5</v>
      </c>
      <c r="J4" s="46" t="str">
        <f aca="false">J3</f>
        <v>D6</v>
      </c>
      <c r="K4" s="46" t="str">
        <f aca="false">K3</f>
        <v>D7</v>
      </c>
      <c r="L4" s="46" t="str">
        <f aca="false">L3</f>
        <v>D8</v>
      </c>
      <c r="M4" s="46" t="str">
        <f aca="false">M3</f>
        <v>D9</v>
      </c>
      <c r="N4" s="46" t="str">
        <f aca="false">N3</f>
        <v>D10</v>
      </c>
      <c r="O4" s="46" t="str">
        <f aca="false">O3</f>
        <v>D11</v>
      </c>
      <c r="P4" s="46" t="str">
        <f aca="false">P3</f>
        <v>D12</v>
      </c>
      <c r="Q4" s="46" t="str">
        <f aca="false">Q3</f>
        <v>D13</v>
      </c>
      <c r="R4" s="46" t="str">
        <f aca="false">R3</f>
        <v>D14</v>
      </c>
      <c r="S4" s="47" t="str">
        <f aca="false">S3</f>
        <v>D15</v>
      </c>
      <c r="T4" s="47"/>
      <c r="U4" s="47"/>
      <c r="V4" s="47"/>
      <c r="W4" s="47"/>
      <c r="X4" s="47"/>
      <c r="Y4" s="47"/>
      <c r="Z4" s="47"/>
      <c r="AA4" s="47"/>
      <c r="AB4" s="47"/>
      <c r="AC4" s="47"/>
      <c r="AD4" s="47"/>
      <c r="AE4" s="47"/>
      <c r="AF4" s="47"/>
      <c r="AG4" s="47"/>
      <c r="AH4" s="47"/>
      <c r="AI4" s="47"/>
      <c r="AJ4" s="47"/>
      <c r="AK4" s="47" t="str">
        <f aca="false">AK3</f>
        <v>D33</v>
      </c>
      <c r="AL4" s="47" t="str">
        <f aca="false">AL3</f>
        <v>D34</v>
      </c>
      <c r="AM4" s="47" t="str">
        <f aca="false">AM3</f>
        <v>D35</v>
      </c>
      <c r="AN4" s="45" t="str">
        <f aca="false">AN3</f>
        <v>D36</v>
      </c>
      <c r="AO4" s="45"/>
      <c r="AP4" s="45"/>
      <c r="AQ4" s="45"/>
      <c r="AR4" s="45"/>
      <c r="AS4" s="46" t="str">
        <f aca="false">AS3</f>
        <v>Comment</v>
      </c>
      <c r="AT4" s="47" t="str">
        <f aca="false">AT3</f>
        <v>Z</v>
      </c>
    </row>
    <row r="5" customFormat="false" ht="14.15" hidden="false" customHeight="true" outlineLevel="0" collapsed="false">
      <c r="A5" s="63"/>
      <c r="B5" s="49"/>
      <c r="C5" s="49"/>
      <c r="D5" s="54"/>
      <c r="E5" s="66"/>
      <c r="F5" s="66"/>
      <c r="G5" s="66"/>
      <c r="H5" s="66"/>
      <c r="I5" s="66"/>
      <c r="J5" s="66"/>
      <c r="K5" s="66"/>
      <c r="L5" s="66"/>
      <c r="M5" s="66"/>
      <c r="N5" s="66"/>
      <c r="O5" s="66"/>
      <c r="P5" s="66"/>
      <c r="Q5" s="66"/>
      <c r="R5" s="67"/>
      <c r="S5" s="68"/>
      <c r="T5" s="68"/>
      <c r="U5" s="68"/>
      <c r="V5" s="68"/>
      <c r="W5" s="68"/>
      <c r="X5" s="68"/>
      <c r="Y5" s="68"/>
      <c r="Z5" s="68"/>
      <c r="AA5" s="68"/>
      <c r="AB5" s="68"/>
      <c r="AC5" s="68"/>
      <c r="AD5" s="68"/>
      <c r="AE5" s="68"/>
      <c r="AF5" s="68"/>
      <c r="AG5" s="68"/>
      <c r="AH5" s="68"/>
      <c r="AI5" s="68"/>
      <c r="AJ5" s="68"/>
      <c r="AK5" s="69"/>
      <c r="AL5" s="69"/>
      <c r="AM5" s="68"/>
      <c r="AN5" s="68"/>
      <c r="AO5" s="68"/>
      <c r="AP5" s="68"/>
      <c r="AQ5" s="68"/>
      <c r="AR5" s="68"/>
      <c r="AS5" s="70"/>
      <c r="AT5" s="56" t="s">
        <v>450</v>
      </c>
    </row>
    <row r="6" customFormat="false" ht="14.15" hidden="false" customHeight="true" outlineLevel="0" collapsed="false">
      <c r="A6" s="63"/>
      <c r="B6" s="49"/>
      <c r="C6" s="49"/>
      <c r="D6" s="54"/>
      <c r="E6" s="66"/>
      <c r="F6" s="66"/>
      <c r="G6" s="66"/>
      <c r="H6" s="66"/>
      <c r="I6" s="66"/>
      <c r="J6" s="66"/>
      <c r="K6" s="66"/>
      <c r="L6" s="66"/>
      <c r="M6" s="66"/>
      <c r="N6" s="66"/>
      <c r="O6" s="66"/>
      <c r="P6" s="66"/>
      <c r="Q6" s="66"/>
      <c r="R6" s="67"/>
      <c r="S6" s="68"/>
      <c r="T6" s="68"/>
      <c r="U6" s="68"/>
      <c r="V6" s="68"/>
      <c r="W6" s="68"/>
      <c r="X6" s="68"/>
      <c r="Y6" s="68"/>
      <c r="Z6" s="68"/>
      <c r="AA6" s="68"/>
      <c r="AB6" s="68"/>
      <c r="AC6" s="68"/>
      <c r="AD6" s="68"/>
      <c r="AE6" s="68"/>
      <c r="AF6" s="68"/>
      <c r="AG6" s="68"/>
      <c r="AH6" s="68"/>
      <c r="AI6" s="68"/>
      <c r="AJ6" s="68"/>
      <c r="AK6" s="69"/>
      <c r="AL6" s="69"/>
      <c r="AM6" s="68"/>
      <c r="AN6" s="68"/>
      <c r="AO6" s="68"/>
      <c r="AP6" s="68"/>
      <c r="AQ6" s="68"/>
      <c r="AR6" s="68"/>
      <c r="AS6" s="70"/>
      <c r="AT6" s="56" t="s">
        <v>450</v>
      </c>
    </row>
    <row r="7" customFormat="false" ht="14.15" hidden="false" customHeight="true" outlineLevel="0" collapsed="false">
      <c r="A7" s="63"/>
      <c r="B7" s="49"/>
      <c r="C7" s="49"/>
      <c r="D7" s="54"/>
      <c r="E7" s="66"/>
      <c r="F7" s="66"/>
      <c r="G7" s="66"/>
      <c r="H7" s="66"/>
      <c r="I7" s="66"/>
      <c r="J7" s="66"/>
      <c r="K7" s="66"/>
      <c r="L7" s="66"/>
      <c r="M7" s="66"/>
      <c r="N7" s="66"/>
      <c r="O7" s="66"/>
      <c r="P7" s="66"/>
      <c r="Q7" s="66"/>
      <c r="R7" s="67"/>
      <c r="S7" s="68"/>
      <c r="T7" s="68"/>
      <c r="U7" s="68"/>
      <c r="V7" s="68"/>
      <c r="W7" s="68"/>
      <c r="X7" s="68"/>
      <c r="Y7" s="68"/>
      <c r="Z7" s="68"/>
      <c r="AA7" s="68"/>
      <c r="AB7" s="68"/>
      <c r="AC7" s="68"/>
      <c r="AD7" s="68"/>
      <c r="AE7" s="68"/>
      <c r="AF7" s="68"/>
      <c r="AG7" s="68"/>
      <c r="AH7" s="68"/>
      <c r="AI7" s="68"/>
      <c r="AJ7" s="68"/>
      <c r="AK7" s="69"/>
      <c r="AL7" s="69"/>
      <c r="AM7" s="68"/>
      <c r="AN7" s="68"/>
      <c r="AO7" s="68"/>
      <c r="AP7" s="68"/>
      <c r="AQ7" s="68"/>
      <c r="AR7" s="68"/>
      <c r="AS7" s="70"/>
      <c r="AT7" s="56" t="s">
        <v>450</v>
      </c>
    </row>
    <row r="8" customFormat="false" ht="14.15" hidden="false" customHeight="true" outlineLevel="0" collapsed="false">
      <c r="A8" s="71"/>
      <c r="B8" s="71" t="s">
        <v>599</v>
      </c>
      <c r="C8" s="72"/>
      <c r="D8" s="73" t="str">
        <f aca="false">D3</f>
        <v>Date</v>
      </c>
      <c r="E8" s="73" t="str">
        <f aca="false">E3</f>
        <v>D1</v>
      </c>
      <c r="F8" s="73" t="str">
        <f aca="false">F3</f>
        <v>D2</v>
      </c>
      <c r="G8" s="73" t="str">
        <f aca="false">G3</f>
        <v>D3</v>
      </c>
      <c r="H8" s="73" t="str">
        <f aca="false">H3</f>
        <v>D4</v>
      </c>
      <c r="I8" s="73" t="str">
        <f aca="false">I3</f>
        <v>D5</v>
      </c>
      <c r="J8" s="73" t="str">
        <f aca="false">J3</f>
        <v>D6</v>
      </c>
      <c r="K8" s="73" t="str">
        <f aca="false">K3</f>
        <v>D7</v>
      </c>
      <c r="L8" s="73" t="str">
        <f aca="false">L3</f>
        <v>D8</v>
      </c>
      <c r="M8" s="73" t="str">
        <f aca="false">M3</f>
        <v>D9</v>
      </c>
      <c r="N8" s="73" t="str">
        <f aca="false">N3</f>
        <v>D10</v>
      </c>
      <c r="O8" s="73" t="str">
        <f aca="false">O3</f>
        <v>D11</v>
      </c>
      <c r="P8" s="73" t="str">
        <f aca="false">P3</f>
        <v>D12</v>
      </c>
      <c r="Q8" s="73" t="str">
        <f aca="false">Q3</f>
        <v>D13</v>
      </c>
      <c r="R8" s="73" t="str">
        <f aca="false">R3</f>
        <v>D14</v>
      </c>
      <c r="S8" s="73" t="str">
        <f aca="false">S3</f>
        <v>D15</v>
      </c>
      <c r="T8" s="73" t="str">
        <f aca="false">T3</f>
        <v>D16</v>
      </c>
      <c r="U8" s="73" t="str">
        <f aca="false">U3</f>
        <v>D17</v>
      </c>
      <c r="V8" s="73" t="str">
        <f aca="false">V3</f>
        <v>D18</v>
      </c>
      <c r="W8" s="73" t="str">
        <f aca="false">W3</f>
        <v>D19</v>
      </c>
      <c r="X8" s="73" t="str">
        <f aca="false">X3</f>
        <v>D20</v>
      </c>
      <c r="Y8" s="73" t="str">
        <f aca="false">Y3</f>
        <v>D21</v>
      </c>
      <c r="Z8" s="73" t="str">
        <f aca="false">Z3</f>
        <v>D22</v>
      </c>
      <c r="AA8" s="73" t="str">
        <f aca="false">AA3</f>
        <v>D23</v>
      </c>
      <c r="AB8" s="73" t="str">
        <f aca="false">AB3</f>
        <v>D24</v>
      </c>
      <c r="AC8" s="73" t="str">
        <f aca="false">AC3</f>
        <v>D25</v>
      </c>
      <c r="AD8" s="73" t="str">
        <f aca="false">AD3</f>
        <v>D26</v>
      </c>
      <c r="AE8" s="73" t="str">
        <f aca="false">AE3</f>
        <v>D27</v>
      </c>
      <c r="AF8" s="73" t="str">
        <f aca="false">AF3</f>
        <v>D28</v>
      </c>
      <c r="AG8" s="73" t="str">
        <f aca="false">AG3</f>
        <v>D29</v>
      </c>
      <c r="AH8" s="73" t="str">
        <f aca="false">AH3</f>
        <v>D30</v>
      </c>
      <c r="AI8" s="73" t="str">
        <f aca="false">AI3</f>
        <v>D31</v>
      </c>
      <c r="AJ8" s="73" t="str">
        <f aca="false">AJ3</f>
        <v>D32</v>
      </c>
      <c r="AK8" s="73" t="str">
        <f aca="false">AK3</f>
        <v>D33</v>
      </c>
      <c r="AL8" s="73" t="str">
        <f aca="false">AL3</f>
        <v>D34</v>
      </c>
      <c r="AM8" s="73" t="str">
        <f aca="false">AM3</f>
        <v>D35</v>
      </c>
      <c r="AN8" s="73" t="str">
        <f aca="false">AN3</f>
        <v>D36</v>
      </c>
      <c r="AO8" s="73" t="str">
        <f aca="false">AO3</f>
        <v>D37</v>
      </c>
      <c r="AP8" s="73" t="str">
        <f aca="false">AP3</f>
        <v>D38</v>
      </c>
      <c r="AQ8" s="73" t="str">
        <f aca="false">AQ3</f>
        <v>D39</v>
      </c>
      <c r="AR8" s="73" t="str">
        <f aca="false">AR3</f>
        <v>D40</v>
      </c>
      <c r="AS8" s="73" t="str">
        <f aca="false">AS3</f>
        <v>Comment</v>
      </c>
      <c r="AT8" s="72" t="s">
        <v>450</v>
      </c>
    </row>
    <row r="9" customFormat="false" ht="14.15" hidden="false" customHeight="true" outlineLevel="0" collapsed="false">
      <c r="A9" s="63"/>
      <c r="B9" s="49"/>
      <c r="C9" s="49" t="s">
        <v>600</v>
      </c>
      <c r="D9" s="49" t="n">
        <f aca="false">VLOOKUP($C9,$C$13:$AS$43,D$2,0)</f>
        <v>44956</v>
      </c>
      <c r="E9" s="70" t="str">
        <f aca="false">VLOOKUP($C9,$C$13:$AS$43,E$2,0)</f>
        <v>sdf</v>
      </c>
      <c r="F9" s="70" t="str">
        <f aca="false">VLOOKUP($C9,$C$13:$AS$43,F$2,0)</f>
        <v>sdf</v>
      </c>
      <c r="G9" s="70" t="str">
        <f aca="false">VLOOKUP($C9,$C$13:$AS$43,G$2,0)</f>
        <v>sdf</v>
      </c>
      <c r="H9" s="70" t="str">
        <f aca="false">VLOOKUP($C9,$C$13:$AS$43,H$2,0)</f>
        <v>sdf</v>
      </c>
      <c r="I9" s="70" t="str">
        <f aca="false">VLOOKUP($C9,$C$13:$AS$43,I$2,0)</f>
        <v>sdf</v>
      </c>
      <c r="J9" s="70" t="str">
        <f aca="false">VLOOKUP($C9,$C$13:$AS$43,J$2,0)</f>
        <v>sdf</v>
      </c>
      <c r="K9" s="70" t="str">
        <f aca="false">VLOOKUP($C9,$C$13:$AS$43,K$2,0)</f>
        <v>sdf</v>
      </c>
      <c r="L9" s="70" t="str">
        <f aca="false">VLOOKUP($C9,$C$13:$AS$43,L$2,0)</f>
        <v>sdf</v>
      </c>
      <c r="M9" s="70" t="str">
        <f aca="false">VLOOKUP($C9,$C$13:$AS$43,M$2,0)</f>
        <v>sdf</v>
      </c>
      <c r="N9" s="70" t="str">
        <f aca="false">VLOOKUP($C9,$C$13:$AS$43,N$2,0)</f>
        <v>sdf</v>
      </c>
      <c r="O9" s="70" t="str">
        <f aca="false">VLOOKUP($C9,$C$13:$AS$43,O$2,0)</f>
        <v>sdf</v>
      </c>
      <c r="P9" s="70" t="str">
        <f aca="false">VLOOKUP($C9,$C$13:$AS$43,P$2,0)</f>
        <v>sdf</v>
      </c>
      <c r="Q9" s="70" t="str">
        <f aca="false">VLOOKUP($C9,$C$13:$AS$43,Q$2,0)</f>
        <v>sdf</v>
      </c>
      <c r="R9" s="70" t="str">
        <f aca="false">VLOOKUP($C9,$C$13:$AS$43,R$2,0)</f>
        <v>sdf</v>
      </c>
      <c r="S9" s="70" t="str">
        <f aca="false">VLOOKUP($C9,$C$13:$AS$43,S$2,0)</f>
        <v>sdf</v>
      </c>
      <c r="T9" s="70" t="str">
        <f aca="false">VLOOKUP($C9,$C$13:$AS$43,T$2,0)</f>
        <v>sdf</v>
      </c>
      <c r="U9" s="70" t="str">
        <f aca="false">VLOOKUP($C9,$C$13:$AS$43,U$2,0)</f>
        <v>sdf</v>
      </c>
      <c r="V9" s="70" t="str">
        <f aca="false">VLOOKUP($C9,$C$13:$AS$43,V$2,0)</f>
        <v>sdf</v>
      </c>
      <c r="W9" s="70" t="str">
        <f aca="false">VLOOKUP($C9,$C$13:$AS$43,W$2,0)</f>
        <v>sdf</v>
      </c>
      <c r="X9" s="70" t="str">
        <f aca="false">VLOOKUP($C9,$C$13:$AS$43,X$2,0)</f>
        <v>sdf</v>
      </c>
      <c r="Y9" s="70" t="str">
        <f aca="false">VLOOKUP($C9,$C$13:$AS$43,Y$2,0)</f>
        <v>sdf</v>
      </c>
      <c r="Z9" s="70" t="str">
        <f aca="false">VLOOKUP($C9,$C$13:$AS$43,Z$2,0)</f>
        <v>sdf</v>
      </c>
      <c r="AA9" s="70" t="str">
        <f aca="false">VLOOKUP($C9,$C$13:$AS$43,AA$2,0)</f>
        <v>sdf</v>
      </c>
      <c r="AB9" s="70" t="str">
        <f aca="false">VLOOKUP($C9,$C$13:$AS$43,AB$2,0)</f>
        <v>sdf</v>
      </c>
      <c r="AC9" s="70" t="str">
        <f aca="false">VLOOKUP($C9,$C$13:$AS$43,AC$2,0)</f>
        <v>sdf</v>
      </c>
      <c r="AD9" s="70" t="str">
        <f aca="false">VLOOKUP($C9,$C$13:$AS$43,AD$2,0)</f>
        <v>sdf</v>
      </c>
      <c r="AE9" s="70" t="str">
        <f aca="false">VLOOKUP($C9,$C$13:$AS$43,AE$2,0)</f>
        <v>sdf</v>
      </c>
      <c r="AF9" s="70" t="str">
        <f aca="false">VLOOKUP($C9,$C$13:$AS$43,AF$2,0)</f>
        <v>sdf</v>
      </c>
      <c r="AG9" s="70" t="str">
        <f aca="false">VLOOKUP($C9,$C$13:$AS$43,AG$2,0)</f>
        <v>sdf</v>
      </c>
      <c r="AH9" s="70" t="str">
        <f aca="false">VLOOKUP($C9,$C$13:$AS$43,AH$2,0)</f>
        <v>sdf</v>
      </c>
      <c r="AI9" s="70" t="str">
        <f aca="false">VLOOKUP($C9,$C$13:$AS$43,AI$2,0)</f>
        <v>sdf</v>
      </c>
      <c r="AJ9" s="70" t="str">
        <f aca="false">VLOOKUP($C9,$C$13:$AS$43,AJ$2,0)</f>
        <v>sdf</v>
      </c>
      <c r="AK9" s="70" t="str">
        <f aca="false">VLOOKUP($C9,$C$13:$AS$43,AK$2,0)</f>
        <v>sdf</v>
      </c>
      <c r="AL9" s="70" t="str">
        <f aca="false">VLOOKUP($C9,$C$13:$AS$43,AL$2,0)</f>
        <v>sdf</v>
      </c>
      <c r="AM9" s="70" t="str">
        <f aca="false">VLOOKUP($C9,$C$13:$AS$43,AM$2,0)</f>
        <v>sdf</v>
      </c>
      <c r="AN9" s="70" t="str">
        <f aca="false">VLOOKUP($C9,$C$13:$AS$43,AN$2,0)</f>
        <v>sdf</v>
      </c>
      <c r="AO9" s="70" t="str">
        <f aca="false">VLOOKUP($C9,$C$13:$AS$43,AO$2,0)</f>
        <v>sdf</v>
      </c>
      <c r="AP9" s="70" t="str">
        <f aca="false">VLOOKUP($C9,$C$13:$AS$43,AP$2,0)</f>
        <v>sdf</v>
      </c>
      <c r="AQ9" s="70" t="str">
        <f aca="false">VLOOKUP($C9,$C$13:$AS$43,AQ$2,0)</f>
        <v>sdf</v>
      </c>
      <c r="AR9" s="70" t="str">
        <f aca="false">VLOOKUP($C9,$C$13:$AS$43,AR$2,0)</f>
        <v>sdf</v>
      </c>
      <c r="AS9" s="70" t="str">
        <f aca="false">VLOOKUP($C9,$C$13:$AS$43,AS$2,0)</f>
        <v>sdf</v>
      </c>
      <c r="AT9" s="56" t="s">
        <v>450</v>
      </c>
    </row>
    <row r="10" customFormat="false" ht="14.15" hidden="false" customHeight="true" outlineLevel="0" collapsed="false">
      <c r="A10" s="63"/>
      <c r="B10" s="49"/>
      <c r="C10" s="49" t="s">
        <v>601</v>
      </c>
      <c r="D10" s="49" t="n">
        <f aca="false">VLOOKUP($C10,$C$13:$AS$43,D$2,0)</f>
        <v>44957</v>
      </c>
      <c r="E10" s="70" t="n">
        <f aca="false">VLOOKUP($C10,$C$13:$AS$43,E$2,0)</f>
        <v>1</v>
      </c>
      <c r="F10" s="70" t="n">
        <f aca="false">VLOOKUP($C10,$C$13:$AS$43,F$2,0)</f>
        <v>2</v>
      </c>
      <c r="G10" s="70" t="n">
        <f aca="false">VLOOKUP($C10,$C$13:$AS$43,G$2,0)</f>
        <v>1</v>
      </c>
      <c r="H10" s="70" t="n">
        <f aca="false">VLOOKUP($C10,$C$13:$AS$43,H$2,0)</f>
        <v>1</v>
      </c>
      <c r="I10" s="70" t="n">
        <f aca="false">VLOOKUP($C10,$C$13:$AS$43,I$2,0)</f>
        <v>1</v>
      </c>
      <c r="J10" s="70" t="n">
        <f aca="false">VLOOKUP($C10,$C$13:$AS$43,J$2,0)</f>
        <v>1</v>
      </c>
      <c r="K10" s="70" t="n">
        <f aca="false">VLOOKUP($C10,$C$13:$AS$43,K$2,0)</f>
        <v>1</v>
      </c>
      <c r="L10" s="70" t="n">
        <f aca="false">VLOOKUP($C10,$C$13:$AS$43,L$2,0)</f>
        <v>1</v>
      </c>
      <c r="M10" s="70" t="n">
        <f aca="false">VLOOKUP($C10,$C$13:$AS$43,M$2,0)</f>
        <v>1</v>
      </c>
      <c r="N10" s="70" t="n">
        <f aca="false">VLOOKUP($C10,$C$13:$AS$43,N$2,0)</f>
        <v>1</v>
      </c>
      <c r="O10" s="70" t="n">
        <f aca="false">VLOOKUP($C10,$C$13:$AS$43,O$2,0)</f>
        <v>1</v>
      </c>
      <c r="P10" s="70" t="n">
        <f aca="false">VLOOKUP($C10,$C$13:$AS$43,P$2,0)</f>
        <v>1</v>
      </c>
      <c r="Q10" s="70" t="n">
        <f aca="false">VLOOKUP($C10,$C$13:$AS$43,Q$2,0)</f>
        <v>1</v>
      </c>
      <c r="R10" s="70" t="n">
        <f aca="false">VLOOKUP($C10,$C$13:$AS$43,R$2,0)</f>
        <v>1</v>
      </c>
      <c r="S10" s="70" t="n">
        <f aca="false">VLOOKUP($C10,$C$13:$AS$43,S$2,0)</f>
        <v>1</v>
      </c>
      <c r="T10" s="70" t="n">
        <f aca="false">VLOOKUP($C10,$C$13:$AS$43,T$2,0)</f>
        <v>1</v>
      </c>
      <c r="U10" s="70" t="n">
        <f aca="false">VLOOKUP($C10,$C$13:$AS$43,U$2,0)</f>
        <v>1</v>
      </c>
      <c r="V10" s="70" t="n">
        <f aca="false">VLOOKUP($C10,$C$13:$AS$43,V$2,0)</f>
        <v>1</v>
      </c>
      <c r="W10" s="70" t="n">
        <f aca="false">VLOOKUP($C10,$C$13:$AS$43,W$2,0)</f>
        <v>1</v>
      </c>
      <c r="X10" s="70" t="n">
        <f aca="false">VLOOKUP($C10,$C$13:$AS$43,X$2,0)</f>
        <v>1</v>
      </c>
      <c r="Y10" s="70" t="n">
        <f aca="false">VLOOKUP($C10,$C$13:$AS$43,Y$2,0)</f>
        <v>1</v>
      </c>
      <c r="Z10" s="70" t="n">
        <f aca="false">VLOOKUP($C10,$C$13:$AS$43,Z$2,0)</f>
        <v>1</v>
      </c>
      <c r="AA10" s="70" t="n">
        <f aca="false">VLOOKUP($C10,$C$13:$AS$43,AA$2,0)</f>
        <v>1</v>
      </c>
      <c r="AB10" s="70" t="n">
        <f aca="false">VLOOKUP($C10,$C$13:$AS$43,AB$2,0)</f>
        <v>1</v>
      </c>
      <c r="AC10" s="70" t="n">
        <f aca="false">VLOOKUP($C10,$C$13:$AS$43,AC$2,0)</f>
        <v>1</v>
      </c>
      <c r="AD10" s="70" t="n">
        <f aca="false">VLOOKUP($C10,$C$13:$AS$43,AD$2,0)</f>
        <v>1</v>
      </c>
      <c r="AE10" s="70" t="n">
        <f aca="false">VLOOKUP($C10,$C$13:$AS$43,AE$2,0)</f>
        <v>1</v>
      </c>
      <c r="AF10" s="70" t="n">
        <f aca="false">VLOOKUP($C10,$C$13:$AS$43,AF$2,0)</f>
        <v>1</v>
      </c>
      <c r="AG10" s="70" t="n">
        <f aca="false">VLOOKUP($C10,$C$13:$AS$43,AG$2,0)</f>
        <v>1</v>
      </c>
      <c r="AH10" s="70" t="n">
        <f aca="false">VLOOKUP($C10,$C$13:$AS$43,AH$2,0)</f>
        <v>1</v>
      </c>
      <c r="AI10" s="70" t="n">
        <f aca="false">VLOOKUP($C10,$C$13:$AS$43,AI$2,0)</f>
        <v>1</v>
      </c>
      <c r="AJ10" s="70" t="n">
        <f aca="false">VLOOKUP($C10,$C$13:$AS$43,AJ$2,0)</f>
        <v>1</v>
      </c>
      <c r="AK10" s="70" t="n">
        <f aca="false">VLOOKUP($C10,$C$13:$AS$43,AK$2,0)</f>
        <v>1</v>
      </c>
      <c r="AL10" s="70" t="n">
        <f aca="false">VLOOKUP($C10,$C$13:$AS$43,AL$2,0)</f>
        <v>1</v>
      </c>
      <c r="AM10" s="70" t="n">
        <f aca="false">VLOOKUP($C10,$C$13:$AS$43,AM$2,0)</f>
        <v>1</v>
      </c>
      <c r="AN10" s="70" t="n">
        <f aca="false">VLOOKUP($C10,$C$13:$AS$43,AN$2,0)</f>
        <v>1</v>
      </c>
      <c r="AO10" s="70" t="n">
        <f aca="false">VLOOKUP($C10,$C$13:$AS$43,AO$2,0)</f>
        <v>1</v>
      </c>
      <c r="AP10" s="70" t="n">
        <f aca="false">VLOOKUP($C10,$C$13:$AS$43,AP$2,0)</f>
        <v>1</v>
      </c>
      <c r="AQ10" s="70" t="n">
        <f aca="false">VLOOKUP($C10,$C$13:$AS$43,AQ$2,0)</f>
        <v>1</v>
      </c>
      <c r="AR10" s="70" t="n">
        <f aca="false">VLOOKUP($C10,$C$13:$AS$43,AR$2,0)</f>
        <v>1</v>
      </c>
      <c r="AS10" s="70" t="n">
        <f aca="false">VLOOKUP($C10,$C$13:$AS$43,AS$2,0)</f>
        <v>1</v>
      </c>
      <c r="AT10" s="56" t="s">
        <v>450</v>
      </c>
    </row>
    <row r="11" customFormat="false" ht="14.15" hidden="false" customHeight="true" outlineLevel="0" collapsed="false">
      <c r="A11" s="63"/>
      <c r="B11" s="49"/>
      <c r="C11" s="49" t="s">
        <v>602</v>
      </c>
      <c r="D11" s="49" t="n">
        <f aca="false">VLOOKUP($C11,$C$13:$AS$43,D$2,0)</f>
        <v>44958</v>
      </c>
      <c r="E11" s="70" t="n">
        <f aca="false">VLOOKUP($C11,$C$13:$AS$43,E$2,0)</f>
        <v>2</v>
      </c>
      <c r="F11" s="70" t="n">
        <f aca="false">VLOOKUP($C11,$C$13:$AS$43,F$2,0)</f>
        <v>3</v>
      </c>
      <c r="G11" s="70" t="n">
        <f aca="false">VLOOKUP($C11,$C$13:$AS$43,G$2,0)</f>
        <v>2</v>
      </c>
      <c r="H11" s="70" t="n">
        <f aca="false">VLOOKUP($C11,$C$13:$AS$43,H$2,0)</f>
        <v>2</v>
      </c>
      <c r="I11" s="70" t="n">
        <f aca="false">VLOOKUP($C11,$C$13:$AS$43,I$2,0)</f>
        <v>2</v>
      </c>
      <c r="J11" s="70" t="n">
        <f aca="false">VLOOKUP($C11,$C$13:$AS$43,J$2,0)</f>
        <v>2</v>
      </c>
      <c r="K11" s="70" t="n">
        <f aca="false">VLOOKUP($C11,$C$13:$AS$43,K$2,0)</f>
        <v>2</v>
      </c>
      <c r="L11" s="70" t="n">
        <f aca="false">VLOOKUP($C11,$C$13:$AS$43,L$2,0)</f>
        <v>2</v>
      </c>
      <c r="M11" s="70" t="n">
        <f aca="false">VLOOKUP($C11,$C$13:$AS$43,M$2,0)</f>
        <v>2</v>
      </c>
      <c r="N11" s="70" t="n">
        <f aca="false">VLOOKUP($C11,$C$13:$AS$43,N$2,0)</f>
        <v>2</v>
      </c>
      <c r="O11" s="70" t="n">
        <f aca="false">VLOOKUP($C11,$C$13:$AS$43,O$2,0)</f>
        <v>2</v>
      </c>
      <c r="P11" s="70" t="n">
        <f aca="false">VLOOKUP($C11,$C$13:$AS$43,P$2,0)</f>
        <v>2</v>
      </c>
      <c r="Q11" s="70" t="n">
        <f aca="false">VLOOKUP($C11,$C$13:$AS$43,Q$2,0)</f>
        <v>2</v>
      </c>
      <c r="R11" s="70" t="n">
        <f aca="false">VLOOKUP($C11,$C$13:$AS$43,R$2,0)</f>
        <v>2</v>
      </c>
      <c r="S11" s="70" t="n">
        <f aca="false">VLOOKUP($C11,$C$13:$AS$43,S$2,0)</f>
        <v>2</v>
      </c>
      <c r="T11" s="70" t="n">
        <f aca="false">VLOOKUP($C11,$C$13:$AS$43,T$2,0)</f>
        <v>2</v>
      </c>
      <c r="U11" s="70" t="n">
        <f aca="false">VLOOKUP($C11,$C$13:$AS$43,U$2,0)</f>
        <v>2</v>
      </c>
      <c r="V11" s="70" t="n">
        <f aca="false">VLOOKUP($C11,$C$13:$AS$43,V$2,0)</f>
        <v>2</v>
      </c>
      <c r="W11" s="70" t="n">
        <f aca="false">VLOOKUP($C11,$C$13:$AS$43,W$2,0)</f>
        <v>2</v>
      </c>
      <c r="X11" s="70" t="n">
        <f aca="false">VLOOKUP($C11,$C$13:$AS$43,X$2,0)</f>
        <v>2</v>
      </c>
      <c r="Y11" s="70" t="n">
        <f aca="false">VLOOKUP($C11,$C$13:$AS$43,Y$2,0)</f>
        <v>2</v>
      </c>
      <c r="Z11" s="70" t="n">
        <f aca="false">VLOOKUP($C11,$C$13:$AS$43,Z$2,0)</f>
        <v>2</v>
      </c>
      <c r="AA11" s="70" t="n">
        <f aca="false">VLOOKUP($C11,$C$13:$AS$43,AA$2,0)</f>
        <v>2</v>
      </c>
      <c r="AB11" s="70" t="n">
        <f aca="false">VLOOKUP($C11,$C$13:$AS$43,AB$2,0)</f>
        <v>2</v>
      </c>
      <c r="AC11" s="70" t="n">
        <f aca="false">VLOOKUP($C11,$C$13:$AS$43,AC$2,0)</f>
        <v>2</v>
      </c>
      <c r="AD11" s="70" t="n">
        <f aca="false">VLOOKUP($C11,$C$13:$AS$43,AD$2,0)</f>
        <v>2</v>
      </c>
      <c r="AE11" s="70" t="n">
        <f aca="false">VLOOKUP($C11,$C$13:$AS$43,AE$2,0)</f>
        <v>2</v>
      </c>
      <c r="AF11" s="70" t="n">
        <f aca="false">VLOOKUP($C11,$C$13:$AS$43,AF$2,0)</f>
        <v>2</v>
      </c>
      <c r="AG11" s="70" t="n">
        <f aca="false">VLOOKUP($C11,$C$13:$AS$43,AG$2,0)</f>
        <v>2</v>
      </c>
      <c r="AH11" s="70" t="n">
        <f aca="false">VLOOKUP($C11,$C$13:$AS$43,AH$2,0)</f>
        <v>2</v>
      </c>
      <c r="AI11" s="70" t="n">
        <f aca="false">VLOOKUP($C11,$C$13:$AS$43,AI$2,0)</f>
        <v>2</v>
      </c>
      <c r="AJ11" s="70" t="n">
        <f aca="false">VLOOKUP($C11,$C$13:$AS$43,AJ$2,0)</f>
        <v>2</v>
      </c>
      <c r="AK11" s="70" t="n">
        <f aca="false">VLOOKUP($C11,$C$13:$AS$43,AK$2,0)</f>
        <v>2</v>
      </c>
      <c r="AL11" s="70" t="n">
        <f aca="false">VLOOKUP($C11,$C$13:$AS$43,AL$2,0)</f>
        <v>2</v>
      </c>
      <c r="AM11" s="70" t="n">
        <f aca="false">VLOOKUP($C11,$C$13:$AS$43,AM$2,0)</f>
        <v>2</v>
      </c>
      <c r="AN11" s="70" t="n">
        <f aca="false">VLOOKUP($C11,$C$13:$AS$43,AN$2,0)</f>
        <v>2</v>
      </c>
      <c r="AO11" s="70" t="n">
        <f aca="false">VLOOKUP($C11,$C$13:$AS$43,AO$2,0)</f>
        <v>2</v>
      </c>
      <c r="AP11" s="70" t="n">
        <f aca="false">VLOOKUP($C11,$C$13:$AS$43,AP$2,0)</f>
        <v>2</v>
      </c>
      <c r="AQ11" s="70" t="n">
        <f aca="false">VLOOKUP($C11,$C$13:$AS$43,AQ$2,0)</f>
        <v>2</v>
      </c>
      <c r="AR11" s="70" t="n">
        <f aca="false">VLOOKUP($C11,$C$13:$AS$43,AR$2,0)</f>
        <v>2</v>
      </c>
      <c r="AS11" s="70" t="n">
        <f aca="false">VLOOKUP($C11,$C$13:$AS$43,AS$2,0)</f>
        <v>2</v>
      </c>
      <c r="AT11" s="56" t="s">
        <v>450</v>
      </c>
    </row>
    <row r="12" customFormat="false" ht="14.15" hidden="false" customHeight="true" outlineLevel="0" collapsed="false">
      <c r="A12" s="74"/>
      <c r="B12" s="71" t="s">
        <v>603</v>
      </c>
      <c r="C12" s="75"/>
      <c r="D12" s="73" t="str">
        <f aca="false">D3</f>
        <v>Date</v>
      </c>
      <c r="E12" s="73" t="str">
        <f aca="false">E8</f>
        <v>D1</v>
      </c>
      <c r="F12" s="73" t="str">
        <f aca="false">F8</f>
        <v>D2</v>
      </c>
      <c r="G12" s="73" t="str">
        <f aca="false">G8</f>
        <v>D3</v>
      </c>
      <c r="H12" s="73" t="str">
        <f aca="false">H8</f>
        <v>D4</v>
      </c>
      <c r="I12" s="73" t="str">
        <f aca="false">I8</f>
        <v>D5</v>
      </c>
      <c r="J12" s="73" t="str">
        <f aca="false">J8</f>
        <v>D6</v>
      </c>
      <c r="K12" s="73" t="str">
        <f aca="false">K8</f>
        <v>D7</v>
      </c>
      <c r="L12" s="73" t="str">
        <f aca="false">L8</f>
        <v>D8</v>
      </c>
      <c r="M12" s="73" t="str">
        <f aca="false">M8</f>
        <v>D9</v>
      </c>
      <c r="N12" s="73" t="str">
        <f aca="false">N8</f>
        <v>D10</v>
      </c>
      <c r="O12" s="73" t="str">
        <f aca="false">O8</f>
        <v>D11</v>
      </c>
      <c r="P12" s="73" t="str">
        <f aca="false">P8</f>
        <v>D12</v>
      </c>
      <c r="Q12" s="73" t="str">
        <f aca="false">Q8</f>
        <v>D13</v>
      </c>
      <c r="R12" s="73" t="str">
        <f aca="false">R8</f>
        <v>D14</v>
      </c>
      <c r="S12" s="73" t="str">
        <f aca="false">S8</f>
        <v>D15</v>
      </c>
      <c r="T12" s="73" t="str">
        <f aca="false">T8</f>
        <v>D16</v>
      </c>
      <c r="U12" s="73" t="str">
        <f aca="false">U8</f>
        <v>D17</v>
      </c>
      <c r="V12" s="73" t="str">
        <f aca="false">V8</f>
        <v>D18</v>
      </c>
      <c r="W12" s="73" t="str">
        <f aca="false">W8</f>
        <v>D19</v>
      </c>
      <c r="X12" s="73" t="str">
        <f aca="false">X8</f>
        <v>D20</v>
      </c>
      <c r="Y12" s="73" t="str">
        <f aca="false">Y8</f>
        <v>D21</v>
      </c>
      <c r="Z12" s="73" t="str">
        <f aca="false">Z8</f>
        <v>D22</v>
      </c>
      <c r="AA12" s="73" t="str">
        <f aca="false">AA8</f>
        <v>D23</v>
      </c>
      <c r="AB12" s="73" t="str">
        <f aca="false">AB8</f>
        <v>D24</v>
      </c>
      <c r="AC12" s="73" t="str">
        <f aca="false">AC8</f>
        <v>D25</v>
      </c>
      <c r="AD12" s="73" t="str">
        <f aca="false">AD8</f>
        <v>D26</v>
      </c>
      <c r="AE12" s="73" t="str">
        <f aca="false">AE8</f>
        <v>D27</v>
      </c>
      <c r="AF12" s="73" t="str">
        <f aca="false">AF8</f>
        <v>D28</v>
      </c>
      <c r="AG12" s="73" t="str">
        <f aca="false">AG8</f>
        <v>D29</v>
      </c>
      <c r="AH12" s="73" t="str">
        <f aca="false">AH8</f>
        <v>D30</v>
      </c>
      <c r="AI12" s="73" t="str">
        <f aca="false">AI8</f>
        <v>D31</v>
      </c>
      <c r="AJ12" s="73" t="str">
        <f aca="false">AJ8</f>
        <v>D32</v>
      </c>
      <c r="AK12" s="73" t="str">
        <f aca="false">AK8</f>
        <v>D33</v>
      </c>
      <c r="AL12" s="73" t="str">
        <f aca="false">AL8</f>
        <v>D34</v>
      </c>
      <c r="AM12" s="73" t="str">
        <f aca="false">AM8</f>
        <v>D35</v>
      </c>
      <c r="AN12" s="73" t="str">
        <f aca="false">AN8</f>
        <v>D36</v>
      </c>
      <c r="AO12" s="73" t="str">
        <f aca="false">AO8</f>
        <v>D37</v>
      </c>
      <c r="AP12" s="73" t="str">
        <f aca="false">AP8</f>
        <v>D38</v>
      </c>
      <c r="AQ12" s="73" t="str">
        <f aca="false">AQ8</f>
        <v>D39</v>
      </c>
      <c r="AR12" s="73" t="str">
        <f aca="false">AR8</f>
        <v>D40</v>
      </c>
      <c r="AS12" s="73" t="str">
        <f aca="false">AS8</f>
        <v>Comment</v>
      </c>
      <c r="AT12" s="73"/>
    </row>
    <row r="13" customFormat="false" ht="14.15" hidden="false" customHeight="true" outlineLevel="0" collapsed="false">
      <c r="A13" s="63"/>
      <c r="B13" s="49"/>
      <c r="C13" s="49" t="str">
        <f aca="false">IF(AND(E13&lt;&gt;"",E14=""),"L",IF(AND(E14&lt;&gt;"",E15=""),"BL",IF(AND(E15&lt;&gt;"",E15&lt;&gt;"",E16=""),"BBL"," - ")))</f>
        <v>-</v>
      </c>
      <c r="D13" s="54" t="n">
        <v>44946</v>
      </c>
      <c r="E13" s="66" t="s">
        <v>604</v>
      </c>
      <c r="F13" s="66" t="s">
        <v>604</v>
      </c>
      <c r="G13" s="66" t="s">
        <v>604</v>
      </c>
      <c r="H13" s="66" t="s">
        <v>604</v>
      </c>
      <c r="I13" s="66" t="s">
        <v>604</v>
      </c>
      <c r="J13" s="66" t="s">
        <v>604</v>
      </c>
      <c r="K13" s="66" t="s">
        <v>604</v>
      </c>
      <c r="L13" s="66" t="s">
        <v>604</v>
      </c>
      <c r="M13" s="66" t="s">
        <v>604</v>
      </c>
      <c r="N13" s="66" t="s">
        <v>604</v>
      </c>
      <c r="O13" s="66" t="s">
        <v>604</v>
      </c>
      <c r="P13" s="66" t="s">
        <v>604</v>
      </c>
      <c r="Q13" s="66" t="s">
        <v>604</v>
      </c>
      <c r="R13" s="66" t="s">
        <v>604</v>
      </c>
      <c r="S13" s="66" t="s">
        <v>604</v>
      </c>
      <c r="T13" s="66" t="s">
        <v>604</v>
      </c>
      <c r="U13" s="66" t="s">
        <v>604</v>
      </c>
      <c r="V13" s="66" t="s">
        <v>604</v>
      </c>
      <c r="W13" s="66" t="s">
        <v>604</v>
      </c>
      <c r="X13" s="66" t="s">
        <v>604</v>
      </c>
      <c r="Y13" s="66" t="s">
        <v>604</v>
      </c>
      <c r="Z13" s="66" t="s">
        <v>604</v>
      </c>
      <c r="AA13" s="66" t="s">
        <v>604</v>
      </c>
      <c r="AB13" s="66" t="s">
        <v>604</v>
      </c>
      <c r="AC13" s="66" t="s">
        <v>604</v>
      </c>
      <c r="AD13" s="66" t="s">
        <v>604</v>
      </c>
      <c r="AE13" s="66" t="s">
        <v>604</v>
      </c>
      <c r="AF13" s="66" t="s">
        <v>604</v>
      </c>
      <c r="AG13" s="66" t="s">
        <v>604</v>
      </c>
      <c r="AH13" s="66" t="s">
        <v>604</v>
      </c>
      <c r="AI13" s="66" t="s">
        <v>604</v>
      </c>
      <c r="AJ13" s="66" t="s">
        <v>604</v>
      </c>
      <c r="AK13" s="66" t="s">
        <v>604</v>
      </c>
      <c r="AL13" s="66" t="s">
        <v>604</v>
      </c>
      <c r="AM13" s="66" t="s">
        <v>604</v>
      </c>
      <c r="AN13" s="66" t="s">
        <v>604</v>
      </c>
      <c r="AO13" s="66" t="s">
        <v>604</v>
      </c>
      <c r="AP13" s="66" t="s">
        <v>604</v>
      </c>
      <c r="AQ13" s="66" t="s">
        <v>604</v>
      </c>
      <c r="AR13" s="66" t="s">
        <v>604</v>
      </c>
      <c r="AS13" s="66" t="s">
        <v>604</v>
      </c>
      <c r="AT13" s="56" t="s">
        <v>450</v>
      </c>
    </row>
    <row r="14" customFormat="false" ht="14.15" hidden="false" customHeight="true" outlineLevel="0" collapsed="false">
      <c r="A14" s="63"/>
      <c r="B14" s="49"/>
      <c r="C14" s="49" t="str">
        <f aca="false">IF(AND(E14&lt;&gt;"",E15=""),"L",IF(AND(E15&lt;&gt;"",E16=""),"BL",IF(AND(E16&lt;&gt;"",E16&lt;&gt;"",E17=""),"BBL"," - ")))</f>
        <v>-</v>
      </c>
      <c r="D14" s="54" t="n">
        <v>44947</v>
      </c>
      <c r="E14" s="66" t="s">
        <v>604</v>
      </c>
      <c r="F14" s="66" t="s">
        <v>604</v>
      </c>
      <c r="G14" s="66" t="s">
        <v>604</v>
      </c>
      <c r="H14" s="66" t="s">
        <v>604</v>
      </c>
      <c r="I14" s="66" t="s">
        <v>604</v>
      </c>
      <c r="J14" s="66" t="s">
        <v>604</v>
      </c>
      <c r="K14" s="66" t="s">
        <v>604</v>
      </c>
      <c r="L14" s="66" t="s">
        <v>604</v>
      </c>
      <c r="M14" s="66" t="s">
        <v>604</v>
      </c>
      <c r="N14" s="66" t="s">
        <v>604</v>
      </c>
      <c r="O14" s="66" t="s">
        <v>604</v>
      </c>
      <c r="P14" s="66" t="s">
        <v>604</v>
      </c>
      <c r="Q14" s="66" t="s">
        <v>604</v>
      </c>
      <c r="R14" s="66" t="s">
        <v>604</v>
      </c>
      <c r="S14" s="66" t="s">
        <v>604</v>
      </c>
      <c r="T14" s="66" t="s">
        <v>604</v>
      </c>
      <c r="U14" s="66" t="s">
        <v>604</v>
      </c>
      <c r="V14" s="66" t="s">
        <v>604</v>
      </c>
      <c r="W14" s="66" t="s">
        <v>604</v>
      </c>
      <c r="X14" s="66" t="s">
        <v>604</v>
      </c>
      <c r="Y14" s="66" t="s">
        <v>604</v>
      </c>
      <c r="Z14" s="66" t="s">
        <v>604</v>
      </c>
      <c r="AA14" s="66" t="s">
        <v>604</v>
      </c>
      <c r="AB14" s="66" t="s">
        <v>604</v>
      </c>
      <c r="AC14" s="66" t="s">
        <v>604</v>
      </c>
      <c r="AD14" s="66" t="s">
        <v>604</v>
      </c>
      <c r="AE14" s="66" t="s">
        <v>604</v>
      </c>
      <c r="AF14" s="66" t="s">
        <v>604</v>
      </c>
      <c r="AG14" s="66" t="s">
        <v>604</v>
      </c>
      <c r="AH14" s="66" t="s">
        <v>604</v>
      </c>
      <c r="AI14" s="66" t="s">
        <v>604</v>
      </c>
      <c r="AJ14" s="66" t="s">
        <v>604</v>
      </c>
      <c r="AK14" s="66" t="s">
        <v>604</v>
      </c>
      <c r="AL14" s="66" t="s">
        <v>604</v>
      </c>
      <c r="AM14" s="66" t="s">
        <v>604</v>
      </c>
      <c r="AN14" s="66" t="s">
        <v>604</v>
      </c>
      <c r="AO14" s="66" t="s">
        <v>604</v>
      </c>
      <c r="AP14" s="66" t="s">
        <v>604</v>
      </c>
      <c r="AQ14" s="66" t="s">
        <v>604</v>
      </c>
      <c r="AR14" s="66" t="s">
        <v>604</v>
      </c>
      <c r="AS14" s="66" t="s">
        <v>604</v>
      </c>
      <c r="AT14" s="56" t="s">
        <v>450</v>
      </c>
    </row>
    <row r="15" customFormat="false" ht="14.15" hidden="false" customHeight="true" outlineLevel="0" collapsed="false">
      <c r="A15" s="63"/>
      <c r="B15" s="49"/>
      <c r="C15" s="49" t="str">
        <f aca="false">IF(AND(E15&lt;&gt;"",E16=""),"L",IF(AND(E16&lt;&gt;"",E17=""),"BL",IF(AND(E17&lt;&gt;"",E17&lt;&gt;"",E18=""),"BBL"," - ")))</f>
        <v>-</v>
      </c>
      <c r="D15" s="54" t="n">
        <v>44948</v>
      </c>
      <c r="E15" s="66" t="s">
        <v>604</v>
      </c>
      <c r="F15" s="66" t="s">
        <v>604</v>
      </c>
      <c r="G15" s="66" t="s">
        <v>604</v>
      </c>
      <c r="H15" s="66" t="s">
        <v>604</v>
      </c>
      <c r="I15" s="66" t="s">
        <v>604</v>
      </c>
      <c r="J15" s="66" t="s">
        <v>604</v>
      </c>
      <c r="K15" s="66" t="s">
        <v>604</v>
      </c>
      <c r="L15" s="66" t="s">
        <v>604</v>
      </c>
      <c r="M15" s="66" t="s">
        <v>604</v>
      </c>
      <c r="N15" s="66" t="s">
        <v>604</v>
      </c>
      <c r="O15" s="66" t="s">
        <v>604</v>
      </c>
      <c r="P15" s="66" t="s">
        <v>604</v>
      </c>
      <c r="Q15" s="66" t="s">
        <v>604</v>
      </c>
      <c r="R15" s="66" t="s">
        <v>604</v>
      </c>
      <c r="S15" s="66" t="s">
        <v>604</v>
      </c>
      <c r="T15" s="66" t="s">
        <v>604</v>
      </c>
      <c r="U15" s="66" t="s">
        <v>604</v>
      </c>
      <c r="V15" s="66" t="s">
        <v>604</v>
      </c>
      <c r="W15" s="66" t="s">
        <v>604</v>
      </c>
      <c r="X15" s="66" t="s">
        <v>604</v>
      </c>
      <c r="Y15" s="66" t="s">
        <v>604</v>
      </c>
      <c r="Z15" s="66" t="s">
        <v>604</v>
      </c>
      <c r="AA15" s="66" t="s">
        <v>604</v>
      </c>
      <c r="AB15" s="66" t="s">
        <v>604</v>
      </c>
      <c r="AC15" s="66" t="s">
        <v>604</v>
      </c>
      <c r="AD15" s="66" t="s">
        <v>604</v>
      </c>
      <c r="AE15" s="66" t="s">
        <v>604</v>
      </c>
      <c r="AF15" s="66" t="s">
        <v>604</v>
      </c>
      <c r="AG15" s="66" t="s">
        <v>604</v>
      </c>
      <c r="AH15" s="66" t="s">
        <v>604</v>
      </c>
      <c r="AI15" s="66" t="s">
        <v>604</v>
      </c>
      <c r="AJ15" s="66" t="s">
        <v>604</v>
      </c>
      <c r="AK15" s="66" t="s">
        <v>604</v>
      </c>
      <c r="AL15" s="66" t="s">
        <v>604</v>
      </c>
      <c r="AM15" s="66" t="s">
        <v>604</v>
      </c>
      <c r="AN15" s="66" t="s">
        <v>604</v>
      </c>
      <c r="AO15" s="66" t="s">
        <v>604</v>
      </c>
      <c r="AP15" s="66" t="s">
        <v>604</v>
      </c>
      <c r="AQ15" s="66" t="s">
        <v>604</v>
      </c>
      <c r="AR15" s="66" t="s">
        <v>604</v>
      </c>
      <c r="AS15" s="66" t="s">
        <v>604</v>
      </c>
      <c r="AT15" s="56" t="s">
        <v>450</v>
      </c>
    </row>
    <row r="16" customFormat="false" ht="14.15" hidden="false" customHeight="true" outlineLevel="0" collapsed="false">
      <c r="A16" s="63"/>
      <c r="B16" s="49"/>
      <c r="C16" s="49" t="str">
        <f aca="false">IF(AND(E16&lt;&gt;"",E17=""),"L",IF(AND(E17&lt;&gt;"",E18=""),"BL",IF(AND(E18&lt;&gt;"",E18&lt;&gt;"",E19=""),"BBL"," - ")))</f>
        <v>-</v>
      </c>
      <c r="D16" s="54" t="n">
        <v>44949</v>
      </c>
      <c r="E16" s="66" t="s">
        <v>605</v>
      </c>
      <c r="F16" s="66" t="s">
        <v>605</v>
      </c>
      <c r="G16" s="66" t="s">
        <v>605</v>
      </c>
      <c r="H16" s="66" t="s">
        <v>605</v>
      </c>
      <c r="I16" s="66" t="s">
        <v>605</v>
      </c>
      <c r="J16" s="66" t="s">
        <v>605</v>
      </c>
      <c r="K16" s="66" t="s">
        <v>605</v>
      </c>
      <c r="L16" s="66" t="s">
        <v>605</v>
      </c>
      <c r="M16" s="66" t="s">
        <v>605</v>
      </c>
      <c r="N16" s="66" t="s">
        <v>605</v>
      </c>
      <c r="O16" s="66" t="s">
        <v>605</v>
      </c>
      <c r="P16" s="66" t="s">
        <v>605</v>
      </c>
      <c r="Q16" s="66" t="s">
        <v>605</v>
      </c>
      <c r="R16" s="66" t="s">
        <v>605</v>
      </c>
      <c r="S16" s="66" t="s">
        <v>605</v>
      </c>
      <c r="T16" s="66" t="s">
        <v>605</v>
      </c>
      <c r="U16" s="66" t="s">
        <v>605</v>
      </c>
      <c r="V16" s="66" t="s">
        <v>605</v>
      </c>
      <c r="W16" s="66" t="s">
        <v>605</v>
      </c>
      <c r="X16" s="66" t="s">
        <v>605</v>
      </c>
      <c r="Y16" s="66" t="s">
        <v>605</v>
      </c>
      <c r="Z16" s="66" t="s">
        <v>605</v>
      </c>
      <c r="AA16" s="66" t="s">
        <v>605</v>
      </c>
      <c r="AB16" s="66" t="s">
        <v>605</v>
      </c>
      <c r="AC16" s="66" t="s">
        <v>605</v>
      </c>
      <c r="AD16" s="66" t="s">
        <v>605</v>
      </c>
      <c r="AE16" s="66" t="s">
        <v>605</v>
      </c>
      <c r="AF16" s="66" t="s">
        <v>605</v>
      </c>
      <c r="AG16" s="66" t="s">
        <v>605</v>
      </c>
      <c r="AH16" s="66" t="s">
        <v>605</v>
      </c>
      <c r="AI16" s="66" t="s">
        <v>605</v>
      </c>
      <c r="AJ16" s="66" t="s">
        <v>605</v>
      </c>
      <c r="AK16" s="66" t="s">
        <v>605</v>
      </c>
      <c r="AL16" s="66" t="s">
        <v>605</v>
      </c>
      <c r="AM16" s="66" t="s">
        <v>605</v>
      </c>
      <c r="AN16" s="66" t="s">
        <v>605</v>
      </c>
      <c r="AO16" s="66" t="s">
        <v>605</v>
      </c>
      <c r="AP16" s="66" t="s">
        <v>605</v>
      </c>
      <c r="AQ16" s="66" t="s">
        <v>605</v>
      </c>
      <c r="AR16" s="66" t="s">
        <v>605</v>
      </c>
      <c r="AS16" s="66" t="s">
        <v>605</v>
      </c>
      <c r="AT16" s="56" t="s">
        <v>450</v>
      </c>
    </row>
    <row r="17" customFormat="false" ht="14.15" hidden="false" customHeight="true" outlineLevel="0" collapsed="false">
      <c r="A17" s="63"/>
      <c r="B17" s="49"/>
      <c r="C17" s="49" t="str">
        <f aca="false">IF(AND(E17&lt;&gt;"",E18=""),"L",IF(AND(E18&lt;&gt;"",E19=""),"BL",IF(AND(E19&lt;&gt;"",E19&lt;&gt;"",E20=""),"BBL"," - ")))</f>
        <v>-</v>
      </c>
      <c r="D17" s="54" t="n">
        <v>44950</v>
      </c>
      <c r="E17" s="66" t="s">
        <v>604</v>
      </c>
      <c r="F17" s="66" t="s">
        <v>604</v>
      </c>
      <c r="G17" s="66" t="s">
        <v>604</v>
      </c>
      <c r="H17" s="66" t="s">
        <v>604</v>
      </c>
      <c r="I17" s="66" t="s">
        <v>604</v>
      </c>
      <c r="J17" s="66" t="s">
        <v>604</v>
      </c>
      <c r="K17" s="66" t="s">
        <v>604</v>
      </c>
      <c r="L17" s="66" t="s">
        <v>604</v>
      </c>
      <c r="M17" s="66" t="s">
        <v>604</v>
      </c>
      <c r="N17" s="66" t="s">
        <v>604</v>
      </c>
      <c r="O17" s="66" t="s">
        <v>604</v>
      </c>
      <c r="P17" s="66" t="s">
        <v>604</v>
      </c>
      <c r="Q17" s="66" t="s">
        <v>604</v>
      </c>
      <c r="R17" s="66" t="s">
        <v>604</v>
      </c>
      <c r="S17" s="66" t="s">
        <v>604</v>
      </c>
      <c r="T17" s="66" t="s">
        <v>604</v>
      </c>
      <c r="U17" s="66" t="s">
        <v>604</v>
      </c>
      <c r="V17" s="66" t="s">
        <v>604</v>
      </c>
      <c r="W17" s="66" t="s">
        <v>604</v>
      </c>
      <c r="X17" s="66" t="s">
        <v>604</v>
      </c>
      <c r="Y17" s="66" t="s">
        <v>604</v>
      </c>
      <c r="Z17" s="66" t="s">
        <v>604</v>
      </c>
      <c r="AA17" s="66" t="s">
        <v>604</v>
      </c>
      <c r="AB17" s="66" t="s">
        <v>604</v>
      </c>
      <c r="AC17" s="66" t="s">
        <v>604</v>
      </c>
      <c r="AD17" s="66" t="s">
        <v>604</v>
      </c>
      <c r="AE17" s="66" t="s">
        <v>604</v>
      </c>
      <c r="AF17" s="66" t="s">
        <v>604</v>
      </c>
      <c r="AG17" s="66" t="s">
        <v>604</v>
      </c>
      <c r="AH17" s="66" t="s">
        <v>604</v>
      </c>
      <c r="AI17" s="66" t="s">
        <v>604</v>
      </c>
      <c r="AJ17" s="66" t="s">
        <v>604</v>
      </c>
      <c r="AK17" s="66" t="s">
        <v>604</v>
      </c>
      <c r="AL17" s="66" t="s">
        <v>604</v>
      </c>
      <c r="AM17" s="66" t="s">
        <v>604</v>
      </c>
      <c r="AN17" s="66" t="s">
        <v>604</v>
      </c>
      <c r="AO17" s="66" t="s">
        <v>604</v>
      </c>
      <c r="AP17" s="66" t="s">
        <v>604</v>
      </c>
      <c r="AQ17" s="66" t="s">
        <v>604</v>
      </c>
      <c r="AR17" s="66" t="s">
        <v>604</v>
      </c>
      <c r="AS17" s="66" t="s">
        <v>604</v>
      </c>
      <c r="AT17" s="56" t="s">
        <v>450</v>
      </c>
    </row>
    <row r="18" customFormat="false" ht="14.15" hidden="false" customHeight="true" outlineLevel="0" collapsed="false">
      <c r="A18" s="63"/>
      <c r="B18" s="49"/>
      <c r="C18" s="49" t="str">
        <f aca="false">IF(AND(E18&lt;&gt;"",E19=""),"L",IF(AND(E19&lt;&gt;"",E20=""),"BL",IF(AND(E20&lt;&gt;"",E20&lt;&gt;"",E21=""),"BBL"," - ")))</f>
        <v>-</v>
      </c>
      <c r="D18" s="54" t="n">
        <v>44951</v>
      </c>
      <c r="E18" s="66" t="s">
        <v>605</v>
      </c>
      <c r="F18" s="66" t="s">
        <v>605</v>
      </c>
      <c r="G18" s="66" t="s">
        <v>605</v>
      </c>
      <c r="H18" s="66" t="s">
        <v>605</v>
      </c>
      <c r="I18" s="66" t="s">
        <v>605</v>
      </c>
      <c r="J18" s="66" t="s">
        <v>605</v>
      </c>
      <c r="K18" s="66" t="s">
        <v>605</v>
      </c>
      <c r="L18" s="66" t="s">
        <v>605</v>
      </c>
      <c r="M18" s="66" t="s">
        <v>605</v>
      </c>
      <c r="N18" s="66" t="s">
        <v>605</v>
      </c>
      <c r="O18" s="66" t="s">
        <v>605</v>
      </c>
      <c r="P18" s="66" t="s">
        <v>605</v>
      </c>
      <c r="Q18" s="66" t="s">
        <v>605</v>
      </c>
      <c r="R18" s="66" t="s">
        <v>605</v>
      </c>
      <c r="S18" s="66" t="s">
        <v>605</v>
      </c>
      <c r="T18" s="66" t="s">
        <v>605</v>
      </c>
      <c r="U18" s="66" t="s">
        <v>605</v>
      </c>
      <c r="V18" s="66" t="s">
        <v>605</v>
      </c>
      <c r="W18" s="66" t="s">
        <v>605</v>
      </c>
      <c r="X18" s="66" t="s">
        <v>605</v>
      </c>
      <c r="Y18" s="66" t="s">
        <v>605</v>
      </c>
      <c r="Z18" s="66" t="s">
        <v>605</v>
      </c>
      <c r="AA18" s="66" t="s">
        <v>605</v>
      </c>
      <c r="AB18" s="66" t="s">
        <v>605</v>
      </c>
      <c r="AC18" s="66" t="s">
        <v>605</v>
      </c>
      <c r="AD18" s="66" t="s">
        <v>605</v>
      </c>
      <c r="AE18" s="66" t="s">
        <v>605</v>
      </c>
      <c r="AF18" s="66" t="s">
        <v>605</v>
      </c>
      <c r="AG18" s="66" t="s">
        <v>605</v>
      </c>
      <c r="AH18" s="66" t="s">
        <v>605</v>
      </c>
      <c r="AI18" s="66" t="s">
        <v>605</v>
      </c>
      <c r="AJ18" s="66" t="s">
        <v>605</v>
      </c>
      <c r="AK18" s="66" t="s">
        <v>605</v>
      </c>
      <c r="AL18" s="66" t="s">
        <v>605</v>
      </c>
      <c r="AM18" s="66" t="s">
        <v>605</v>
      </c>
      <c r="AN18" s="66" t="s">
        <v>605</v>
      </c>
      <c r="AO18" s="66" t="s">
        <v>605</v>
      </c>
      <c r="AP18" s="66" t="s">
        <v>605</v>
      </c>
      <c r="AQ18" s="66" t="s">
        <v>605</v>
      </c>
      <c r="AR18" s="66" t="s">
        <v>605</v>
      </c>
      <c r="AS18" s="66" t="s">
        <v>605</v>
      </c>
      <c r="AT18" s="56" t="s">
        <v>450</v>
      </c>
    </row>
    <row r="19" customFormat="false" ht="14.15" hidden="false" customHeight="true" outlineLevel="0" collapsed="false">
      <c r="A19" s="63"/>
      <c r="B19" s="49"/>
      <c r="C19" s="49" t="str">
        <f aca="false">IF(AND(E19&lt;&gt;"",E20=""),"L",IF(AND(E20&lt;&gt;"",E21=""),"BL",IF(AND(E21&lt;&gt;"",E21&lt;&gt;"",E22=""),"BBL"," - ")))</f>
        <v>-</v>
      </c>
      <c r="D19" s="54" t="n">
        <v>44952</v>
      </c>
      <c r="E19" s="66" t="s">
        <v>606</v>
      </c>
      <c r="F19" s="66" t="s">
        <v>606</v>
      </c>
      <c r="G19" s="66" t="s">
        <v>606</v>
      </c>
      <c r="H19" s="66" t="s">
        <v>606</v>
      </c>
      <c r="I19" s="66" t="s">
        <v>606</v>
      </c>
      <c r="J19" s="66" t="s">
        <v>606</v>
      </c>
      <c r="K19" s="66" t="s">
        <v>606</v>
      </c>
      <c r="L19" s="66" t="s">
        <v>606</v>
      </c>
      <c r="M19" s="66" t="s">
        <v>606</v>
      </c>
      <c r="N19" s="66" t="s">
        <v>606</v>
      </c>
      <c r="O19" s="66" t="s">
        <v>606</v>
      </c>
      <c r="P19" s="66" t="s">
        <v>606</v>
      </c>
      <c r="Q19" s="66" t="s">
        <v>606</v>
      </c>
      <c r="R19" s="66" t="s">
        <v>606</v>
      </c>
      <c r="S19" s="66" t="s">
        <v>606</v>
      </c>
      <c r="T19" s="66" t="s">
        <v>606</v>
      </c>
      <c r="U19" s="66" t="s">
        <v>606</v>
      </c>
      <c r="V19" s="66" t="s">
        <v>606</v>
      </c>
      <c r="W19" s="66" t="s">
        <v>606</v>
      </c>
      <c r="X19" s="66" t="s">
        <v>606</v>
      </c>
      <c r="Y19" s="66" t="s">
        <v>606</v>
      </c>
      <c r="Z19" s="66" t="s">
        <v>606</v>
      </c>
      <c r="AA19" s="66" t="s">
        <v>606</v>
      </c>
      <c r="AB19" s="66" t="s">
        <v>606</v>
      </c>
      <c r="AC19" s="66" t="s">
        <v>606</v>
      </c>
      <c r="AD19" s="66" t="s">
        <v>606</v>
      </c>
      <c r="AE19" s="66" t="s">
        <v>606</v>
      </c>
      <c r="AF19" s="66" t="s">
        <v>606</v>
      </c>
      <c r="AG19" s="66" t="s">
        <v>606</v>
      </c>
      <c r="AH19" s="66" t="s">
        <v>606</v>
      </c>
      <c r="AI19" s="66" t="s">
        <v>606</v>
      </c>
      <c r="AJ19" s="66" t="s">
        <v>606</v>
      </c>
      <c r="AK19" s="66" t="s">
        <v>606</v>
      </c>
      <c r="AL19" s="66" t="s">
        <v>606</v>
      </c>
      <c r="AM19" s="66" t="s">
        <v>606</v>
      </c>
      <c r="AN19" s="66" t="s">
        <v>606</v>
      </c>
      <c r="AO19" s="66" t="s">
        <v>606</v>
      </c>
      <c r="AP19" s="66" t="s">
        <v>606</v>
      </c>
      <c r="AQ19" s="66" t="s">
        <v>606</v>
      </c>
      <c r="AR19" s="66" t="s">
        <v>606</v>
      </c>
      <c r="AS19" s="66" t="s">
        <v>606</v>
      </c>
      <c r="AT19" s="56" t="s">
        <v>450</v>
      </c>
    </row>
    <row r="20" customFormat="false" ht="12.8" hidden="false" customHeight="false" outlineLevel="0" collapsed="false">
      <c r="B20" s="49"/>
      <c r="C20" s="49" t="str">
        <f aca="false">IF(AND(E20&lt;&gt;"",E21=""),"L",IF(AND(E21&lt;&gt;"",E22=""),"BL",IF(AND(E22&lt;&gt;"",E22&lt;&gt;"",E23=""),"BBL"," - ")))</f>
        <v>-</v>
      </c>
      <c r="D20" s="54" t="n">
        <v>44953</v>
      </c>
      <c r="E20" s="66" t="s">
        <v>607</v>
      </c>
      <c r="F20" s="66" t="s">
        <v>607</v>
      </c>
      <c r="G20" s="66" t="s">
        <v>607</v>
      </c>
      <c r="H20" s="66" t="s">
        <v>607</v>
      </c>
      <c r="I20" s="66" t="s">
        <v>607</v>
      </c>
      <c r="J20" s="66" t="s">
        <v>607</v>
      </c>
      <c r="K20" s="66" t="s">
        <v>607</v>
      </c>
      <c r="L20" s="66" t="s">
        <v>607</v>
      </c>
      <c r="M20" s="66" t="s">
        <v>607</v>
      </c>
      <c r="N20" s="66" t="s">
        <v>607</v>
      </c>
      <c r="O20" s="66" t="s">
        <v>607</v>
      </c>
      <c r="P20" s="66" t="s">
        <v>607</v>
      </c>
      <c r="Q20" s="66" t="s">
        <v>607</v>
      </c>
      <c r="R20" s="66" t="s">
        <v>607</v>
      </c>
      <c r="S20" s="66" t="s">
        <v>607</v>
      </c>
      <c r="T20" s="66" t="s">
        <v>607</v>
      </c>
      <c r="U20" s="66" t="s">
        <v>607</v>
      </c>
      <c r="V20" s="66" t="s">
        <v>607</v>
      </c>
      <c r="W20" s="66" t="s">
        <v>607</v>
      </c>
      <c r="X20" s="66" t="s">
        <v>607</v>
      </c>
      <c r="Y20" s="66" t="s">
        <v>607</v>
      </c>
      <c r="Z20" s="66" t="s">
        <v>607</v>
      </c>
      <c r="AA20" s="66" t="s">
        <v>607</v>
      </c>
      <c r="AB20" s="66" t="s">
        <v>607</v>
      </c>
      <c r="AC20" s="66" t="s">
        <v>607</v>
      </c>
      <c r="AD20" s="66" t="s">
        <v>607</v>
      </c>
      <c r="AE20" s="66" t="s">
        <v>607</v>
      </c>
      <c r="AF20" s="66" t="s">
        <v>607</v>
      </c>
      <c r="AG20" s="66" t="s">
        <v>607</v>
      </c>
      <c r="AH20" s="66" t="s">
        <v>607</v>
      </c>
      <c r="AI20" s="66" t="s">
        <v>607</v>
      </c>
      <c r="AJ20" s="66" t="s">
        <v>607</v>
      </c>
      <c r="AK20" s="66" t="s">
        <v>607</v>
      </c>
      <c r="AL20" s="66" t="s">
        <v>607</v>
      </c>
      <c r="AM20" s="66" t="s">
        <v>607</v>
      </c>
      <c r="AN20" s="66" t="s">
        <v>607</v>
      </c>
      <c r="AO20" s="66" t="s">
        <v>607</v>
      </c>
      <c r="AP20" s="66" t="s">
        <v>607</v>
      </c>
      <c r="AQ20" s="66" t="s">
        <v>607</v>
      </c>
      <c r="AR20" s="66" t="s">
        <v>607</v>
      </c>
      <c r="AS20" s="66" t="s">
        <v>607</v>
      </c>
      <c r="AT20" s="56" t="s">
        <v>450</v>
      </c>
    </row>
    <row r="21" customFormat="false" ht="12.8" hidden="false" customHeight="false" outlineLevel="0" collapsed="false">
      <c r="B21" s="49"/>
      <c r="C21" s="49" t="str">
        <f aca="false">IF(AND(E21&lt;&gt;"",E22=""),"L",IF(AND(E22&lt;&gt;"",E23=""),"BL",IF(AND(E23&lt;&gt;"",E23&lt;&gt;"",E24=""),"BBL"," - ")))</f>
        <v>-</v>
      </c>
      <c r="D21" s="54" t="n">
        <v>44954</v>
      </c>
      <c r="E21" s="66" t="s">
        <v>607</v>
      </c>
      <c r="F21" s="66" t="s">
        <v>607</v>
      </c>
      <c r="G21" s="66" t="s">
        <v>607</v>
      </c>
      <c r="H21" s="66" t="s">
        <v>607</v>
      </c>
      <c r="I21" s="66" t="s">
        <v>607</v>
      </c>
      <c r="J21" s="66" t="s">
        <v>607</v>
      </c>
      <c r="K21" s="66" t="s">
        <v>607</v>
      </c>
      <c r="L21" s="66" t="s">
        <v>607</v>
      </c>
      <c r="M21" s="66" t="s">
        <v>607</v>
      </c>
      <c r="N21" s="66" t="s">
        <v>607</v>
      </c>
      <c r="O21" s="66" t="s">
        <v>607</v>
      </c>
      <c r="P21" s="66" t="s">
        <v>607</v>
      </c>
      <c r="Q21" s="66" t="s">
        <v>607</v>
      </c>
      <c r="R21" s="66" t="s">
        <v>607</v>
      </c>
      <c r="S21" s="66" t="s">
        <v>607</v>
      </c>
      <c r="T21" s="66" t="s">
        <v>607</v>
      </c>
      <c r="U21" s="66" t="s">
        <v>607</v>
      </c>
      <c r="V21" s="66" t="s">
        <v>607</v>
      </c>
      <c r="W21" s="66" t="s">
        <v>607</v>
      </c>
      <c r="X21" s="66" t="s">
        <v>607</v>
      </c>
      <c r="Y21" s="66" t="s">
        <v>607</v>
      </c>
      <c r="Z21" s="66" t="s">
        <v>607</v>
      </c>
      <c r="AA21" s="66" t="s">
        <v>607</v>
      </c>
      <c r="AB21" s="66" t="s">
        <v>607</v>
      </c>
      <c r="AC21" s="66" t="s">
        <v>607</v>
      </c>
      <c r="AD21" s="66" t="s">
        <v>607</v>
      </c>
      <c r="AE21" s="66" t="s">
        <v>607</v>
      </c>
      <c r="AF21" s="66" t="s">
        <v>607</v>
      </c>
      <c r="AG21" s="66" t="s">
        <v>607</v>
      </c>
      <c r="AH21" s="66" t="s">
        <v>607</v>
      </c>
      <c r="AI21" s="66" t="s">
        <v>607</v>
      </c>
      <c r="AJ21" s="66" t="s">
        <v>607</v>
      </c>
      <c r="AK21" s="66" t="s">
        <v>607</v>
      </c>
      <c r="AL21" s="66" t="s">
        <v>607</v>
      </c>
      <c r="AM21" s="66" t="s">
        <v>607</v>
      </c>
      <c r="AN21" s="66" t="s">
        <v>607</v>
      </c>
      <c r="AO21" s="66" t="s">
        <v>607</v>
      </c>
      <c r="AP21" s="66" t="s">
        <v>607</v>
      </c>
      <c r="AQ21" s="66" t="s">
        <v>607</v>
      </c>
      <c r="AR21" s="66" t="s">
        <v>607</v>
      </c>
      <c r="AS21" s="66" t="s">
        <v>607</v>
      </c>
      <c r="AT21" s="56" t="s">
        <v>450</v>
      </c>
    </row>
    <row r="22" customFormat="false" ht="12.8" hidden="false" customHeight="false" outlineLevel="0" collapsed="false">
      <c r="B22" s="49"/>
      <c r="C22" s="49" t="str">
        <f aca="false">IF(AND(E22&lt;&gt;"",E23=""),"L",IF(AND(E23&lt;&gt;"",E24=""),"BL",IF(AND(E24&lt;&gt;"",E24&lt;&gt;"",E25=""),"BBL"," - ")))</f>
        <v>-</v>
      </c>
      <c r="D22" s="54" t="n">
        <v>44955</v>
      </c>
      <c r="E22" s="66" t="s">
        <v>608</v>
      </c>
      <c r="F22" s="66" t="s">
        <v>608</v>
      </c>
      <c r="G22" s="66" t="s">
        <v>608</v>
      </c>
      <c r="H22" s="66" t="s">
        <v>608</v>
      </c>
      <c r="I22" s="66" t="s">
        <v>608</v>
      </c>
      <c r="J22" s="66" t="s">
        <v>608</v>
      </c>
      <c r="K22" s="66" t="s">
        <v>608</v>
      </c>
      <c r="L22" s="66" t="s">
        <v>608</v>
      </c>
      <c r="M22" s="66" t="s">
        <v>608</v>
      </c>
      <c r="N22" s="66" t="s">
        <v>608</v>
      </c>
      <c r="O22" s="66" t="s">
        <v>608</v>
      </c>
      <c r="P22" s="66" t="s">
        <v>608</v>
      </c>
      <c r="Q22" s="66" t="s">
        <v>608</v>
      </c>
      <c r="R22" s="66" t="s">
        <v>608</v>
      </c>
      <c r="S22" s="66" t="s">
        <v>608</v>
      </c>
      <c r="T22" s="66" t="s">
        <v>608</v>
      </c>
      <c r="U22" s="66" t="s">
        <v>608</v>
      </c>
      <c r="V22" s="66" t="s">
        <v>608</v>
      </c>
      <c r="W22" s="66" t="s">
        <v>608</v>
      </c>
      <c r="X22" s="66" t="s">
        <v>608</v>
      </c>
      <c r="Y22" s="66" t="s">
        <v>608</v>
      </c>
      <c r="Z22" s="66" t="s">
        <v>608</v>
      </c>
      <c r="AA22" s="66" t="s">
        <v>608</v>
      </c>
      <c r="AB22" s="66" t="s">
        <v>608</v>
      </c>
      <c r="AC22" s="66" t="s">
        <v>608</v>
      </c>
      <c r="AD22" s="66" t="s">
        <v>608</v>
      </c>
      <c r="AE22" s="66" t="s">
        <v>608</v>
      </c>
      <c r="AF22" s="66" t="s">
        <v>608</v>
      </c>
      <c r="AG22" s="66" t="s">
        <v>608</v>
      </c>
      <c r="AH22" s="66" t="s">
        <v>608</v>
      </c>
      <c r="AI22" s="66" t="s">
        <v>608</v>
      </c>
      <c r="AJ22" s="66" t="s">
        <v>608</v>
      </c>
      <c r="AK22" s="66" t="s">
        <v>608</v>
      </c>
      <c r="AL22" s="66" t="s">
        <v>608</v>
      </c>
      <c r="AM22" s="66" t="s">
        <v>608</v>
      </c>
      <c r="AN22" s="66" t="s">
        <v>608</v>
      </c>
      <c r="AO22" s="66" t="s">
        <v>608</v>
      </c>
      <c r="AP22" s="66" t="s">
        <v>608</v>
      </c>
      <c r="AQ22" s="66" t="s">
        <v>608</v>
      </c>
      <c r="AR22" s="66" t="s">
        <v>608</v>
      </c>
      <c r="AS22" s="66" t="s">
        <v>608</v>
      </c>
      <c r="AT22" s="56" t="s">
        <v>450</v>
      </c>
    </row>
    <row r="23" customFormat="false" ht="12.8" hidden="false" customHeight="false" outlineLevel="0" collapsed="false">
      <c r="B23" s="49"/>
      <c r="C23" s="49" t="str">
        <f aca="false">IF(AND(E23&lt;&gt;"",E24=""),"L",IF(AND(E24&lt;&gt;"",E25=""),"BL",IF(AND(E25&lt;&gt;"",E25&lt;&gt;"",E26=""),"BBL"," - ")))</f>
        <v>BBL</v>
      </c>
      <c r="D23" s="54" t="n">
        <v>44956</v>
      </c>
      <c r="E23" s="66" t="s">
        <v>609</v>
      </c>
      <c r="F23" s="66" t="s">
        <v>609</v>
      </c>
      <c r="G23" s="66" t="s">
        <v>609</v>
      </c>
      <c r="H23" s="66" t="s">
        <v>609</v>
      </c>
      <c r="I23" s="66" t="s">
        <v>609</v>
      </c>
      <c r="J23" s="66" t="s">
        <v>609</v>
      </c>
      <c r="K23" s="66" t="s">
        <v>609</v>
      </c>
      <c r="L23" s="66" t="s">
        <v>609</v>
      </c>
      <c r="M23" s="66" t="s">
        <v>609</v>
      </c>
      <c r="N23" s="66" t="s">
        <v>609</v>
      </c>
      <c r="O23" s="66" t="s">
        <v>609</v>
      </c>
      <c r="P23" s="66" t="s">
        <v>609</v>
      </c>
      <c r="Q23" s="66" t="s">
        <v>609</v>
      </c>
      <c r="R23" s="66" t="s">
        <v>609</v>
      </c>
      <c r="S23" s="66" t="s">
        <v>609</v>
      </c>
      <c r="T23" s="66" t="s">
        <v>609</v>
      </c>
      <c r="U23" s="66" t="s">
        <v>609</v>
      </c>
      <c r="V23" s="66" t="s">
        <v>609</v>
      </c>
      <c r="W23" s="66" t="s">
        <v>609</v>
      </c>
      <c r="X23" s="66" t="s">
        <v>609</v>
      </c>
      <c r="Y23" s="66" t="s">
        <v>609</v>
      </c>
      <c r="Z23" s="66" t="s">
        <v>609</v>
      </c>
      <c r="AA23" s="66" t="s">
        <v>609</v>
      </c>
      <c r="AB23" s="66" t="s">
        <v>609</v>
      </c>
      <c r="AC23" s="66" t="s">
        <v>609</v>
      </c>
      <c r="AD23" s="66" t="s">
        <v>609</v>
      </c>
      <c r="AE23" s="66" t="s">
        <v>609</v>
      </c>
      <c r="AF23" s="66" t="s">
        <v>609</v>
      </c>
      <c r="AG23" s="66" t="s">
        <v>609</v>
      </c>
      <c r="AH23" s="66" t="s">
        <v>609</v>
      </c>
      <c r="AI23" s="66" t="s">
        <v>609</v>
      </c>
      <c r="AJ23" s="66" t="s">
        <v>609</v>
      </c>
      <c r="AK23" s="66" t="s">
        <v>609</v>
      </c>
      <c r="AL23" s="66" t="s">
        <v>609</v>
      </c>
      <c r="AM23" s="66" t="s">
        <v>609</v>
      </c>
      <c r="AN23" s="66" t="s">
        <v>609</v>
      </c>
      <c r="AO23" s="66" t="s">
        <v>609</v>
      </c>
      <c r="AP23" s="66" t="s">
        <v>609</v>
      </c>
      <c r="AQ23" s="66" t="s">
        <v>609</v>
      </c>
      <c r="AR23" s="66" t="s">
        <v>609</v>
      </c>
      <c r="AS23" s="66" t="s">
        <v>609</v>
      </c>
      <c r="AT23" s="56" t="s">
        <v>450</v>
      </c>
    </row>
    <row r="24" customFormat="false" ht="12.8" hidden="false" customHeight="false" outlineLevel="0" collapsed="false">
      <c r="B24" s="49"/>
      <c r="C24" s="49" t="str">
        <f aca="false">IF(AND(E24&lt;&gt;"",E25=""),"L",IF(AND(E25&lt;&gt;"",E26=""),"BL",IF(AND(E26&lt;&gt;"",E26&lt;&gt;"",E27=""),"BBL"," - ")))</f>
        <v>BL</v>
      </c>
      <c r="D24" s="54" t="n">
        <v>44957</v>
      </c>
      <c r="E24" s="66" t="n">
        <v>1</v>
      </c>
      <c r="F24" s="66" t="n">
        <v>2</v>
      </c>
      <c r="G24" s="66" t="n">
        <v>1</v>
      </c>
      <c r="H24" s="66" t="n">
        <v>1</v>
      </c>
      <c r="I24" s="66" t="n">
        <v>1</v>
      </c>
      <c r="J24" s="66" t="n">
        <v>1</v>
      </c>
      <c r="K24" s="66" t="n">
        <v>1</v>
      </c>
      <c r="L24" s="66" t="n">
        <v>1</v>
      </c>
      <c r="M24" s="66" t="n">
        <v>1</v>
      </c>
      <c r="N24" s="66" t="n">
        <v>1</v>
      </c>
      <c r="O24" s="66" t="n">
        <v>1</v>
      </c>
      <c r="P24" s="66" t="n">
        <v>1</v>
      </c>
      <c r="Q24" s="66" t="n">
        <v>1</v>
      </c>
      <c r="R24" s="66" t="n">
        <v>1</v>
      </c>
      <c r="S24" s="66" t="n">
        <v>1</v>
      </c>
      <c r="T24" s="66" t="n">
        <v>1</v>
      </c>
      <c r="U24" s="66" t="n">
        <v>1</v>
      </c>
      <c r="V24" s="66" t="n">
        <v>1</v>
      </c>
      <c r="W24" s="66" t="n">
        <v>1</v>
      </c>
      <c r="X24" s="66" t="n">
        <v>1</v>
      </c>
      <c r="Y24" s="66" t="n">
        <v>1</v>
      </c>
      <c r="Z24" s="66" t="n">
        <v>1</v>
      </c>
      <c r="AA24" s="66" t="n">
        <v>1</v>
      </c>
      <c r="AB24" s="66" t="n">
        <v>1</v>
      </c>
      <c r="AC24" s="66" t="n">
        <v>1</v>
      </c>
      <c r="AD24" s="66" t="n">
        <v>1</v>
      </c>
      <c r="AE24" s="66" t="n">
        <v>1</v>
      </c>
      <c r="AF24" s="66" t="n">
        <v>1</v>
      </c>
      <c r="AG24" s="66" t="n">
        <v>1</v>
      </c>
      <c r="AH24" s="66" t="n">
        <v>1</v>
      </c>
      <c r="AI24" s="66" t="n">
        <v>1</v>
      </c>
      <c r="AJ24" s="66" t="n">
        <v>1</v>
      </c>
      <c r="AK24" s="66" t="n">
        <v>1</v>
      </c>
      <c r="AL24" s="66" t="n">
        <v>1</v>
      </c>
      <c r="AM24" s="66" t="n">
        <v>1</v>
      </c>
      <c r="AN24" s="66" t="n">
        <v>1</v>
      </c>
      <c r="AO24" s="66" t="n">
        <v>1</v>
      </c>
      <c r="AP24" s="66" t="n">
        <v>1</v>
      </c>
      <c r="AQ24" s="66" t="n">
        <v>1</v>
      </c>
      <c r="AR24" s="66" t="n">
        <v>1</v>
      </c>
      <c r="AS24" s="66" t="n">
        <v>1</v>
      </c>
      <c r="AT24" s="56" t="s">
        <v>450</v>
      </c>
    </row>
    <row r="25" customFormat="false" ht="12.8" hidden="false" customHeight="false" outlineLevel="0" collapsed="false">
      <c r="B25" s="49"/>
      <c r="C25" s="49" t="str">
        <f aca="false">IF(AND(E25&lt;&gt;"",E26=""),"L",IF(AND(E26&lt;&gt;"",E27=""),"BL",IF(AND(E27&lt;&gt;"",E27&lt;&gt;"",E28=""),"BBL"," - ")))</f>
        <v>L</v>
      </c>
      <c r="D25" s="54" t="n">
        <v>44958</v>
      </c>
      <c r="E25" s="66" t="n">
        <v>2</v>
      </c>
      <c r="F25" s="66" t="n">
        <v>3</v>
      </c>
      <c r="G25" s="66" t="n">
        <v>2</v>
      </c>
      <c r="H25" s="66" t="n">
        <v>2</v>
      </c>
      <c r="I25" s="66" t="n">
        <v>2</v>
      </c>
      <c r="J25" s="66" t="n">
        <v>2</v>
      </c>
      <c r="K25" s="66" t="n">
        <v>2</v>
      </c>
      <c r="L25" s="66" t="n">
        <v>2</v>
      </c>
      <c r="M25" s="66" t="n">
        <v>2</v>
      </c>
      <c r="N25" s="66" t="n">
        <v>2</v>
      </c>
      <c r="O25" s="66" t="n">
        <v>2</v>
      </c>
      <c r="P25" s="66" t="n">
        <v>2</v>
      </c>
      <c r="Q25" s="66" t="n">
        <v>2</v>
      </c>
      <c r="R25" s="66" t="n">
        <v>2</v>
      </c>
      <c r="S25" s="66" t="n">
        <v>2</v>
      </c>
      <c r="T25" s="66" t="n">
        <v>2</v>
      </c>
      <c r="U25" s="66" t="n">
        <v>2</v>
      </c>
      <c r="V25" s="66" t="n">
        <v>2</v>
      </c>
      <c r="W25" s="66" t="n">
        <v>2</v>
      </c>
      <c r="X25" s="66" t="n">
        <v>2</v>
      </c>
      <c r="Y25" s="66" t="n">
        <v>2</v>
      </c>
      <c r="Z25" s="66" t="n">
        <v>2</v>
      </c>
      <c r="AA25" s="66" t="n">
        <v>2</v>
      </c>
      <c r="AB25" s="66" t="n">
        <v>2</v>
      </c>
      <c r="AC25" s="66" t="n">
        <v>2</v>
      </c>
      <c r="AD25" s="66" t="n">
        <v>2</v>
      </c>
      <c r="AE25" s="66" t="n">
        <v>2</v>
      </c>
      <c r="AF25" s="66" t="n">
        <v>2</v>
      </c>
      <c r="AG25" s="66" t="n">
        <v>2</v>
      </c>
      <c r="AH25" s="66" t="n">
        <v>2</v>
      </c>
      <c r="AI25" s="66" t="n">
        <v>2</v>
      </c>
      <c r="AJ25" s="66" t="n">
        <v>2</v>
      </c>
      <c r="AK25" s="66" t="n">
        <v>2</v>
      </c>
      <c r="AL25" s="66" t="n">
        <v>2</v>
      </c>
      <c r="AM25" s="66" t="n">
        <v>2</v>
      </c>
      <c r="AN25" s="66" t="n">
        <v>2</v>
      </c>
      <c r="AO25" s="66" t="n">
        <v>2</v>
      </c>
      <c r="AP25" s="66" t="n">
        <v>2</v>
      </c>
      <c r="AQ25" s="66" t="n">
        <v>2</v>
      </c>
      <c r="AR25" s="66" t="n">
        <v>2</v>
      </c>
      <c r="AS25" s="66" t="n">
        <v>2</v>
      </c>
      <c r="AT25" s="56" t="s">
        <v>450</v>
      </c>
    </row>
    <row r="26" customFormat="false" ht="12.8" hidden="false" customHeight="false" outlineLevel="0" collapsed="false">
      <c r="B26" s="49"/>
      <c r="C26" s="49" t="str">
        <f aca="false">IF(AND(E26&lt;&gt;"",E27=""),"L",IF(AND(E27&lt;&gt;"",E28=""),"BL",IF(AND(E28&lt;&gt;"",E28&lt;&gt;"",E29=""),"BBL"," - ")))</f>
        <v>-</v>
      </c>
      <c r="D26" s="54"/>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56" t="s">
        <v>450</v>
      </c>
    </row>
    <row r="27" customFormat="false" ht="12.8" hidden="false" customHeight="false" outlineLevel="0" collapsed="false">
      <c r="B27" s="49"/>
      <c r="C27" s="49" t="str">
        <f aca="false">IF(AND(E27&lt;&gt;"",E28=""),"L",IF(AND(E28&lt;&gt;"",E29=""),"BL",IF(AND(E29&lt;&gt;"",E29&lt;&gt;"",E30=""),"BBL"," - ")))</f>
        <v>-</v>
      </c>
      <c r="D27" s="54"/>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56" t="s">
        <v>450</v>
      </c>
    </row>
    <row r="28" customFormat="false" ht="12.8" hidden="false" customHeight="false" outlineLevel="0" collapsed="false">
      <c r="B28" s="49"/>
      <c r="C28" s="49" t="str">
        <f aca="false">IF(AND(E28&lt;&gt;"",E29=""),"L",IF(AND(E29&lt;&gt;"",E30=""),"BL",IF(AND(E30&lt;&gt;"",E30&lt;&gt;"",E31=""),"BBL"," - ")))</f>
        <v>-</v>
      </c>
      <c r="D28" s="54"/>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56" t="s">
        <v>450</v>
      </c>
    </row>
    <row r="29" customFormat="false" ht="12.8" hidden="false" customHeight="false" outlineLevel="0" collapsed="false">
      <c r="B29" s="49"/>
      <c r="C29" s="49" t="str">
        <f aca="false">IF(AND(E29&lt;&gt;"",E30=""),"L",IF(AND(E30&lt;&gt;"",E31=""),"BL",IF(AND(E31&lt;&gt;"",E31&lt;&gt;"",E32=""),"BBL"," - ")))</f>
        <v>-</v>
      </c>
      <c r="D29" s="54"/>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56" t="s">
        <v>450</v>
      </c>
    </row>
    <row r="30" customFormat="false" ht="12.8" hidden="false" customHeight="false" outlineLevel="0" collapsed="false">
      <c r="B30" s="49"/>
      <c r="C30" s="49" t="str">
        <f aca="false">IF(AND(E30&lt;&gt;"",E31=""),"L",IF(AND(E31&lt;&gt;"",E32=""),"BL",IF(AND(E32&lt;&gt;"",E32&lt;&gt;"",E33=""),"BBL"," - ")))</f>
        <v>-</v>
      </c>
      <c r="D30" s="54"/>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56" t="s">
        <v>450</v>
      </c>
    </row>
    <row r="31" customFormat="false" ht="12.8" hidden="false" customHeight="false" outlineLevel="0" collapsed="false">
      <c r="B31" s="49"/>
      <c r="C31" s="49" t="str">
        <f aca="false">IF(AND(E31&lt;&gt;"",E32=""),"L",IF(AND(E32&lt;&gt;"",E33=""),"BL",IF(AND(E33&lt;&gt;"",E33&lt;&gt;"",E34=""),"BBL"," - ")))</f>
        <v>-</v>
      </c>
      <c r="D31" s="54"/>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56" t="s">
        <v>450</v>
      </c>
    </row>
    <row r="32" customFormat="false" ht="12.8" hidden="false" customHeight="false" outlineLevel="0" collapsed="false">
      <c r="B32" s="49"/>
      <c r="C32" s="49" t="str">
        <f aca="false">IF(AND(E32&lt;&gt;"",E33=""),"L",IF(AND(E33&lt;&gt;"",E34=""),"BL",IF(AND(E34&lt;&gt;"",E34&lt;&gt;"",E35=""),"BBL"," - ")))</f>
        <v>-</v>
      </c>
      <c r="D32" s="54"/>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56" t="s">
        <v>450</v>
      </c>
    </row>
    <row r="33" customFormat="false" ht="12.8" hidden="false" customHeight="false" outlineLevel="0" collapsed="false">
      <c r="B33" s="49"/>
      <c r="C33" s="49" t="str">
        <f aca="false">IF(AND(E33&lt;&gt;"",E34=""),"L",IF(AND(E34&lt;&gt;"",E35=""),"BL",IF(AND(E35&lt;&gt;"",E35&lt;&gt;"",E36=""),"BBL"," - ")))</f>
        <v>-</v>
      </c>
      <c r="D33" s="54"/>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56" t="s">
        <v>450</v>
      </c>
    </row>
    <row r="34" customFormat="false" ht="12.8" hidden="false" customHeight="false" outlineLevel="0" collapsed="false">
      <c r="B34" s="49"/>
      <c r="C34" s="49" t="str">
        <f aca="false">IF(AND(E34&lt;&gt;"",E35=""),"L",IF(AND(E35&lt;&gt;"",E36=""),"BL",IF(AND(E36&lt;&gt;"",E36&lt;&gt;"",E37=""),"BBL"," - ")))</f>
        <v>-</v>
      </c>
      <c r="D34" s="54"/>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56" t="s">
        <v>450</v>
      </c>
    </row>
    <row r="35" customFormat="false" ht="12.8" hidden="false" customHeight="false" outlineLevel="0" collapsed="false">
      <c r="B35" s="49"/>
      <c r="C35" s="49" t="str">
        <f aca="false">IF(AND(E35&lt;&gt;"",E36=""),"L",IF(AND(E36&lt;&gt;"",E37=""),"BL",IF(AND(E37&lt;&gt;"",E37&lt;&gt;"",E38=""),"BBL"," - ")))</f>
        <v>-</v>
      </c>
      <c r="D35" s="54"/>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56" t="s">
        <v>450</v>
      </c>
    </row>
    <row r="36" customFormat="false" ht="12.8" hidden="false" customHeight="false" outlineLevel="0" collapsed="false">
      <c r="B36" s="49"/>
      <c r="C36" s="49" t="str">
        <f aca="false">IF(AND(E36&lt;&gt;"",E37=""),"L",IF(AND(E37&lt;&gt;"",E38=""),"BL",IF(AND(E38&lt;&gt;"",E38&lt;&gt;"",E39=""),"BBL"," - ")))</f>
        <v>-</v>
      </c>
      <c r="D36" s="54"/>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56" t="s">
        <v>450</v>
      </c>
    </row>
    <row r="37" customFormat="false" ht="12.8" hidden="false" customHeight="false" outlineLevel="0" collapsed="false">
      <c r="B37" s="49"/>
      <c r="C37" s="49" t="str">
        <f aca="false">IF(AND(E37&lt;&gt;"",E38=""),"L",IF(AND(E38&lt;&gt;"",E39=""),"BL",IF(AND(E39&lt;&gt;"",E39&lt;&gt;"",E40=""),"BBL"," - ")))</f>
        <v>-</v>
      </c>
      <c r="D37" s="54"/>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56" t="s">
        <v>450</v>
      </c>
    </row>
    <row r="38" customFormat="false" ht="12.8" hidden="false" customHeight="false" outlineLevel="0" collapsed="false">
      <c r="B38" s="49"/>
      <c r="C38" s="49" t="str">
        <f aca="false">IF(AND(E38&lt;&gt;"",E39=""),"L",IF(AND(E39&lt;&gt;"",E40=""),"BL",IF(AND(E40&lt;&gt;"",E40&lt;&gt;"",E41=""),"BBL"," - ")))</f>
        <v>-</v>
      </c>
      <c r="D38" s="54"/>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56" t="s">
        <v>450</v>
      </c>
    </row>
    <row r="39" customFormat="false" ht="12.8" hidden="false" customHeight="false" outlineLevel="0" collapsed="false">
      <c r="B39" s="49"/>
      <c r="C39" s="49" t="str">
        <f aca="false">IF(AND(E39&lt;&gt;"",E40=""),"L",IF(AND(E40&lt;&gt;"",E41=""),"BL",IF(AND(E41&lt;&gt;"",E41&lt;&gt;"",E42=""),"BBL"," - ")))</f>
        <v>-</v>
      </c>
      <c r="D39" s="54"/>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56" t="s">
        <v>450</v>
      </c>
    </row>
    <row r="40" customFormat="false" ht="12.8" hidden="false" customHeight="false" outlineLevel="0" collapsed="false">
      <c r="B40" s="49"/>
      <c r="C40" s="49" t="str">
        <f aca="false">IF(AND(E40&lt;&gt;"",E41=""),"L",IF(AND(E41&lt;&gt;"",E42=""),"BL",IF(AND(E42&lt;&gt;"",E42&lt;&gt;"",E43=""),"BBL"," - ")))</f>
        <v>-</v>
      </c>
      <c r="D40" s="54"/>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56" t="s">
        <v>450</v>
      </c>
    </row>
    <row r="41" customFormat="false" ht="12.8" hidden="false" customHeight="false" outlineLevel="0" collapsed="false">
      <c r="B41" s="49"/>
      <c r="C41" s="49" t="str">
        <f aca="false">IF(AND(E41&lt;&gt;"",E42=""),"L",IF(AND(E42&lt;&gt;"",E43=""),"BL",IF(AND(E43&lt;&gt;"",E43&lt;&gt;"",E44=""),"BBL"," - ")))</f>
        <v>-</v>
      </c>
      <c r="D41" s="54"/>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56" t="s">
        <v>450</v>
      </c>
    </row>
    <row r="42" customFormat="false" ht="12.8" hidden="false" customHeight="false" outlineLevel="0" collapsed="false">
      <c r="B42" s="49"/>
      <c r="C42" s="49" t="str">
        <f aca="false">IF(AND(E42&lt;&gt;"",E43=""),"L",IF(AND(E43&lt;&gt;"",E44=""),"BL",IF(AND(E44&lt;&gt;"",E44&lt;&gt;"",E45=""),"BBL"," - ")))</f>
        <v>-</v>
      </c>
      <c r="D42" s="54"/>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56" t="s">
        <v>450</v>
      </c>
    </row>
    <row r="43" customFormat="false" ht="12.8" hidden="false" customHeight="false" outlineLevel="0" collapsed="false">
      <c r="B43" s="49"/>
      <c r="C43" s="49"/>
      <c r="D43" s="54"/>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56" t="s">
        <v>450</v>
      </c>
    </row>
  </sheetData>
  <autoFilter ref="A4:AT43"/>
  <dataValidations count="5">
    <dataValidation allowBlank="true" errorStyle="stop" operator="equal" showDropDown="false" showErrorMessage="true" showInputMessage="false" sqref="R5:R7" type="list">
      <formula1>Static!$I$5:$I$15</formula1>
      <formula2>0</formula2>
    </dataValidation>
    <dataValidation allowBlank="true" errorStyle="stop" operator="equal" showDropDown="false" showErrorMessage="true" showInputMessage="false" sqref="H5:H7" type="list">
      <formula1>#ref!</formula1>
      <formula2>0</formula2>
    </dataValidation>
    <dataValidation allowBlank="true" errorStyle="stop" operator="equal" showDropDown="false" showErrorMessage="true" showInputMessage="false" sqref="L5:L7" type="list">
      <formula1>#ref!</formula1>
      <formula2>0</formula2>
    </dataValidation>
    <dataValidation allowBlank="true" errorStyle="stop" operator="equal" showDropDown="false" showErrorMessage="true" showInputMessage="false" sqref="F5:F7" type="list">
      <formula1>Static!$AI$5:$AI$7</formula1>
      <formula2>0</formula2>
    </dataValidation>
    <dataValidation allowBlank="true" errorStyle="stop" operator="equal" showDropDown="false" showErrorMessage="true" showInputMessage="false" sqref="M5:Q7" type="list">
      <formula1>#ref!</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43"/>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C26" activeCellId="0" sqref="C26"/>
    </sheetView>
  </sheetViews>
  <sheetFormatPr defaultColWidth="15.6875" defaultRowHeight="12.8" zeroHeight="false" outlineLevelRow="1" outlineLevelCol="1"/>
  <cols>
    <col collapsed="false" customWidth="true" hidden="false" outlineLevel="1" max="1" min="1" style="2" width="1.8"/>
    <col collapsed="false" customWidth="true" hidden="false" outlineLevel="1" max="2" min="2" style="31" width="7.68"/>
    <col collapsed="false" customWidth="true" hidden="false" outlineLevel="0" max="3" min="3" style="31" width="7.75"/>
    <col collapsed="false" customWidth="true" hidden="false" outlineLevel="0" max="4" min="4" style="31" width="10.82"/>
    <col collapsed="false" customWidth="true" hidden="false" outlineLevel="0" max="18" min="5" style="31" width="6.72"/>
    <col collapsed="false" customWidth="true" hidden="false" outlineLevel="0" max="36" min="19" style="2" width="6.72"/>
    <col collapsed="false" customWidth="true" hidden="false" outlineLevel="0" max="39" min="37" style="31" width="6.72"/>
    <col collapsed="false" customWidth="true" hidden="false" outlineLevel="0" max="44" min="40" style="2" width="6.72"/>
    <col collapsed="false" customWidth="true" hidden="false" outlineLevel="0" max="45" min="45" style="31" width="15.49"/>
    <col collapsed="false" customWidth="true" hidden="false" outlineLevel="0" max="46" min="46" style="0" width="2.54"/>
  </cols>
  <sheetData>
    <row r="1" s="38" customFormat="true" ht="71.45" hidden="true" customHeight="true" outlineLevel="1" collapsed="false">
      <c r="A1" s="33" t="n">
        <f aca="true">TODAY()</f>
        <v>45334</v>
      </c>
      <c r="B1" s="34" t="s">
        <v>551</v>
      </c>
      <c r="C1" s="34" t="s">
        <v>552</v>
      </c>
      <c r="D1" s="34" t="s">
        <v>553</v>
      </c>
      <c r="E1" s="34" t="s">
        <v>554</v>
      </c>
      <c r="F1" s="34" t="s">
        <v>554</v>
      </c>
      <c r="G1" s="34" t="s">
        <v>554</v>
      </c>
      <c r="H1" s="34" t="s">
        <v>554</v>
      </c>
      <c r="I1" s="34" t="s">
        <v>554</v>
      </c>
      <c r="J1" s="34" t="s">
        <v>554</v>
      </c>
      <c r="K1" s="34" t="s">
        <v>554</v>
      </c>
      <c r="L1" s="34" t="s">
        <v>554</v>
      </c>
      <c r="M1" s="34" t="s">
        <v>554</v>
      </c>
      <c r="N1" s="34" t="s">
        <v>554</v>
      </c>
      <c r="O1" s="34" t="s">
        <v>554</v>
      </c>
      <c r="P1" s="34" t="s">
        <v>554</v>
      </c>
      <c r="Q1" s="34" t="s">
        <v>554</v>
      </c>
      <c r="R1" s="34" t="s">
        <v>554</v>
      </c>
      <c r="S1" s="34" t="s">
        <v>554</v>
      </c>
      <c r="T1" s="34" t="s">
        <v>554</v>
      </c>
      <c r="U1" s="34" t="s">
        <v>554</v>
      </c>
      <c r="V1" s="34" t="s">
        <v>554</v>
      </c>
      <c r="W1" s="34" t="s">
        <v>554</v>
      </c>
      <c r="X1" s="34" t="s">
        <v>554</v>
      </c>
      <c r="Y1" s="34" t="s">
        <v>554</v>
      </c>
      <c r="Z1" s="34" t="s">
        <v>554</v>
      </c>
      <c r="AA1" s="34" t="s">
        <v>554</v>
      </c>
      <c r="AB1" s="34" t="s">
        <v>554</v>
      </c>
      <c r="AC1" s="34" t="s">
        <v>554</v>
      </c>
      <c r="AD1" s="34" t="s">
        <v>554</v>
      </c>
      <c r="AE1" s="34" t="s">
        <v>554</v>
      </c>
      <c r="AF1" s="34" t="s">
        <v>554</v>
      </c>
      <c r="AG1" s="34" t="s">
        <v>554</v>
      </c>
      <c r="AH1" s="34" t="s">
        <v>554</v>
      </c>
      <c r="AI1" s="34" t="s">
        <v>554</v>
      </c>
      <c r="AJ1" s="34" t="s">
        <v>554</v>
      </c>
      <c r="AK1" s="34" t="s">
        <v>554</v>
      </c>
      <c r="AL1" s="34" t="s">
        <v>554</v>
      </c>
      <c r="AM1" s="34" t="s">
        <v>554</v>
      </c>
      <c r="AN1" s="34" t="s">
        <v>554</v>
      </c>
      <c r="AO1" s="34" t="s">
        <v>554</v>
      </c>
      <c r="AP1" s="34" t="s">
        <v>554</v>
      </c>
      <c r="AQ1" s="34" t="s">
        <v>554</v>
      </c>
      <c r="AR1" s="34" t="s">
        <v>554</v>
      </c>
      <c r="AS1" s="34" t="s">
        <v>555</v>
      </c>
      <c r="AT1" s="36" t="s">
        <v>393</v>
      </c>
      <c r="ALX1" s="0"/>
      <c r="ALY1" s="0"/>
      <c r="ALZ1" s="0"/>
      <c r="AMA1" s="0"/>
      <c r="AMB1" s="0"/>
      <c r="AMC1" s="0"/>
      <c r="AMD1" s="0"/>
      <c r="AME1" s="0"/>
      <c r="AMF1" s="0"/>
      <c r="AMG1" s="0"/>
      <c r="AMH1" s="0"/>
      <c r="AMI1" s="0"/>
      <c r="AMJ1" s="0"/>
    </row>
    <row r="2" s="38" customFormat="true" ht="14.15" hidden="true" customHeight="true" outlineLevel="1" collapsed="false">
      <c r="A2" s="36"/>
      <c r="B2" s="34"/>
      <c r="C2" s="34" t="n">
        <v>1</v>
      </c>
      <c r="D2" s="34" t="n">
        <v>2</v>
      </c>
      <c r="E2" s="34" t="n">
        <v>3</v>
      </c>
      <c r="F2" s="34" t="n">
        <v>4</v>
      </c>
      <c r="G2" s="34" t="n">
        <v>5</v>
      </c>
      <c r="H2" s="34" t="n">
        <v>6</v>
      </c>
      <c r="I2" s="34" t="n">
        <v>7</v>
      </c>
      <c r="J2" s="34" t="n">
        <v>8</v>
      </c>
      <c r="K2" s="34" t="n">
        <v>9</v>
      </c>
      <c r="L2" s="34" t="n">
        <v>10</v>
      </c>
      <c r="M2" s="34" t="n">
        <v>11</v>
      </c>
      <c r="N2" s="34" t="n">
        <v>12</v>
      </c>
      <c r="O2" s="34" t="n">
        <v>13</v>
      </c>
      <c r="P2" s="34" t="n">
        <v>14</v>
      </c>
      <c r="Q2" s="34" t="n">
        <v>15</v>
      </c>
      <c r="R2" s="34" t="n">
        <v>16</v>
      </c>
      <c r="S2" s="34" t="n">
        <v>17</v>
      </c>
      <c r="T2" s="34" t="n">
        <v>18</v>
      </c>
      <c r="U2" s="34" t="n">
        <v>19</v>
      </c>
      <c r="V2" s="34" t="n">
        <v>20</v>
      </c>
      <c r="W2" s="34" t="n">
        <v>21</v>
      </c>
      <c r="X2" s="34" t="n">
        <v>22</v>
      </c>
      <c r="Y2" s="34" t="n">
        <v>23</v>
      </c>
      <c r="Z2" s="34" t="n">
        <v>24</v>
      </c>
      <c r="AA2" s="34" t="n">
        <v>25</v>
      </c>
      <c r="AB2" s="34" t="n">
        <v>26</v>
      </c>
      <c r="AC2" s="34" t="n">
        <v>27</v>
      </c>
      <c r="AD2" s="34" t="n">
        <v>28</v>
      </c>
      <c r="AE2" s="34" t="n">
        <v>29</v>
      </c>
      <c r="AF2" s="34" t="n">
        <v>30</v>
      </c>
      <c r="AG2" s="34" t="n">
        <v>31</v>
      </c>
      <c r="AH2" s="34" t="n">
        <v>32</v>
      </c>
      <c r="AI2" s="34" t="n">
        <v>33</v>
      </c>
      <c r="AJ2" s="34" t="n">
        <v>34</v>
      </c>
      <c r="AK2" s="34" t="n">
        <v>35</v>
      </c>
      <c r="AL2" s="34" t="n">
        <v>36</v>
      </c>
      <c r="AM2" s="34" t="n">
        <v>37</v>
      </c>
      <c r="AN2" s="34" t="n">
        <v>38</v>
      </c>
      <c r="AO2" s="34" t="n">
        <v>39</v>
      </c>
      <c r="AP2" s="34" t="n">
        <v>40</v>
      </c>
      <c r="AQ2" s="34" t="n">
        <v>41</v>
      </c>
      <c r="AR2" s="34" t="n">
        <v>42</v>
      </c>
      <c r="AS2" s="34" t="n">
        <v>43</v>
      </c>
      <c r="AT2" s="36"/>
      <c r="ALX2" s="0"/>
      <c r="ALY2" s="0"/>
      <c r="ALZ2" s="0"/>
      <c r="AMA2" s="0"/>
      <c r="AMB2" s="0"/>
      <c r="AMC2" s="0"/>
      <c r="AMD2" s="0"/>
      <c r="AME2" s="0"/>
      <c r="AMF2" s="0"/>
      <c r="AMG2" s="0"/>
      <c r="AMH2" s="0"/>
      <c r="AMI2" s="0"/>
      <c r="AMJ2" s="0"/>
    </row>
    <row r="3" customFormat="false" ht="32.2" hidden="false" customHeight="true" outlineLevel="0" collapsed="false">
      <c r="A3" s="39" t="s">
        <v>394</v>
      </c>
      <c r="B3" s="40"/>
      <c r="C3" s="41" t="s">
        <v>556</v>
      </c>
      <c r="D3" s="41" t="s">
        <v>557</v>
      </c>
      <c r="E3" s="41" t="s">
        <v>558</v>
      </c>
      <c r="F3" s="41" t="s">
        <v>559</v>
      </c>
      <c r="G3" s="41" t="s">
        <v>560</v>
      </c>
      <c r="H3" s="41" t="s">
        <v>561</v>
      </c>
      <c r="I3" s="41" t="s">
        <v>562</v>
      </c>
      <c r="J3" s="41" t="s">
        <v>563</v>
      </c>
      <c r="K3" s="41" t="s">
        <v>564</v>
      </c>
      <c r="L3" s="41" t="s">
        <v>565</v>
      </c>
      <c r="M3" s="41" t="s">
        <v>566</v>
      </c>
      <c r="N3" s="41" t="s">
        <v>567</v>
      </c>
      <c r="O3" s="41" t="s">
        <v>568</v>
      </c>
      <c r="P3" s="41" t="s">
        <v>569</v>
      </c>
      <c r="Q3" s="41" t="s">
        <v>570</v>
      </c>
      <c r="R3" s="41" t="s">
        <v>571</v>
      </c>
      <c r="S3" s="41" t="s">
        <v>572</v>
      </c>
      <c r="T3" s="41" t="s">
        <v>573</v>
      </c>
      <c r="U3" s="41" t="s">
        <v>574</v>
      </c>
      <c r="V3" s="41" t="s">
        <v>575</v>
      </c>
      <c r="W3" s="41" t="s">
        <v>576</v>
      </c>
      <c r="X3" s="41" t="s">
        <v>577</v>
      </c>
      <c r="Y3" s="41" t="s">
        <v>578</v>
      </c>
      <c r="Z3" s="41" t="s">
        <v>579</v>
      </c>
      <c r="AA3" s="41" t="s">
        <v>580</v>
      </c>
      <c r="AB3" s="41" t="s">
        <v>581</v>
      </c>
      <c r="AC3" s="41" t="s">
        <v>582</v>
      </c>
      <c r="AD3" s="41" t="s">
        <v>583</v>
      </c>
      <c r="AE3" s="41" t="s">
        <v>584</v>
      </c>
      <c r="AF3" s="41" t="s">
        <v>585</v>
      </c>
      <c r="AG3" s="41" t="s">
        <v>586</v>
      </c>
      <c r="AH3" s="41" t="s">
        <v>587</v>
      </c>
      <c r="AI3" s="41" t="s">
        <v>588</v>
      </c>
      <c r="AJ3" s="41" t="s">
        <v>589</v>
      </c>
      <c r="AK3" s="41" t="s">
        <v>590</v>
      </c>
      <c r="AL3" s="41" t="s">
        <v>591</v>
      </c>
      <c r="AM3" s="41" t="s">
        <v>592</v>
      </c>
      <c r="AN3" s="41" t="s">
        <v>593</v>
      </c>
      <c r="AO3" s="41" t="s">
        <v>594</v>
      </c>
      <c r="AP3" s="41" t="s">
        <v>595</v>
      </c>
      <c r="AQ3" s="41" t="s">
        <v>596</v>
      </c>
      <c r="AR3" s="41" t="s">
        <v>597</v>
      </c>
      <c r="AS3" s="41" t="s">
        <v>598</v>
      </c>
      <c r="AT3" s="43" t="s">
        <v>442</v>
      </c>
    </row>
    <row r="4" customFormat="false" ht="8.75" hidden="false" customHeight="true" outlineLevel="0" collapsed="false">
      <c r="A4" s="45" t="str">
        <f aca="false">A3</f>
        <v>A</v>
      </c>
      <c r="B4" s="46" t="n">
        <f aca="false">B3</f>
        <v>0</v>
      </c>
      <c r="C4" s="46" t="str">
        <f aca="false">C3</f>
        <v>L / BL /BBL</v>
      </c>
      <c r="D4" s="46" t="str">
        <f aca="false">D3</f>
        <v>Date</v>
      </c>
      <c r="E4" s="46" t="str">
        <f aca="false">E3</f>
        <v>D1</v>
      </c>
      <c r="F4" s="46" t="str">
        <f aca="false">F3</f>
        <v>D2</v>
      </c>
      <c r="G4" s="46"/>
      <c r="H4" s="46" t="str">
        <f aca="false">H3</f>
        <v>D4</v>
      </c>
      <c r="I4" s="46" t="str">
        <f aca="false">I3</f>
        <v>D5</v>
      </c>
      <c r="J4" s="46" t="str">
        <f aca="false">J3</f>
        <v>D6</v>
      </c>
      <c r="K4" s="46" t="str">
        <f aca="false">K3</f>
        <v>D7</v>
      </c>
      <c r="L4" s="46" t="str">
        <f aca="false">L3</f>
        <v>D8</v>
      </c>
      <c r="M4" s="46" t="str">
        <f aca="false">M3</f>
        <v>D9</v>
      </c>
      <c r="N4" s="46" t="str">
        <f aca="false">N3</f>
        <v>D10</v>
      </c>
      <c r="O4" s="46" t="str">
        <f aca="false">O3</f>
        <v>D11</v>
      </c>
      <c r="P4" s="46" t="str">
        <f aca="false">P3</f>
        <v>D12</v>
      </c>
      <c r="Q4" s="46" t="str">
        <f aca="false">Q3</f>
        <v>D13</v>
      </c>
      <c r="R4" s="46" t="str">
        <f aca="false">R3</f>
        <v>D14</v>
      </c>
      <c r="S4" s="47" t="str">
        <f aca="false">S3</f>
        <v>D15</v>
      </c>
      <c r="T4" s="47"/>
      <c r="U4" s="47"/>
      <c r="V4" s="47"/>
      <c r="W4" s="47"/>
      <c r="X4" s="47"/>
      <c r="Y4" s="47"/>
      <c r="Z4" s="47"/>
      <c r="AA4" s="47"/>
      <c r="AB4" s="47"/>
      <c r="AC4" s="47"/>
      <c r="AD4" s="47"/>
      <c r="AE4" s="47"/>
      <c r="AF4" s="47"/>
      <c r="AG4" s="47"/>
      <c r="AH4" s="47"/>
      <c r="AI4" s="47"/>
      <c r="AJ4" s="47"/>
      <c r="AK4" s="47" t="str">
        <f aca="false">AK3</f>
        <v>D33</v>
      </c>
      <c r="AL4" s="47" t="str">
        <f aca="false">AL3</f>
        <v>D34</v>
      </c>
      <c r="AM4" s="47" t="str">
        <f aca="false">AM3</f>
        <v>D35</v>
      </c>
      <c r="AN4" s="45" t="str">
        <f aca="false">AN3</f>
        <v>D36</v>
      </c>
      <c r="AO4" s="45"/>
      <c r="AP4" s="45"/>
      <c r="AQ4" s="45"/>
      <c r="AR4" s="45"/>
      <c r="AS4" s="46" t="str">
        <f aca="false">AS3</f>
        <v>Comment</v>
      </c>
      <c r="AT4" s="47" t="str">
        <f aca="false">AT3</f>
        <v>Z</v>
      </c>
    </row>
    <row r="5" customFormat="false" ht="14.15" hidden="false" customHeight="true" outlineLevel="0" collapsed="false">
      <c r="A5" s="63"/>
      <c r="B5" s="49"/>
      <c r="C5" s="49"/>
      <c r="D5" s="54"/>
      <c r="E5" s="66"/>
      <c r="F5" s="66"/>
      <c r="G5" s="66"/>
      <c r="H5" s="66"/>
      <c r="I5" s="66"/>
      <c r="J5" s="66"/>
      <c r="K5" s="66"/>
      <c r="L5" s="66"/>
      <c r="M5" s="66"/>
      <c r="N5" s="66"/>
      <c r="O5" s="66"/>
      <c r="P5" s="66"/>
      <c r="Q5" s="66"/>
      <c r="R5" s="67"/>
      <c r="S5" s="68"/>
      <c r="T5" s="68"/>
      <c r="U5" s="68"/>
      <c r="V5" s="68"/>
      <c r="W5" s="68"/>
      <c r="X5" s="68"/>
      <c r="Y5" s="68"/>
      <c r="Z5" s="68"/>
      <c r="AA5" s="68"/>
      <c r="AB5" s="68"/>
      <c r="AC5" s="68"/>
      <c r="AD5" s="68"/>
      <c r="AE5" s="68"/>
      <c r="AF5" s="68"/>
      <c r="AG5" s="68"/>
      <c r="AH5" s="68"/>
      <c r="AI5" s="68"/>
      <c r="AJ5" s="68"/>
      <c r="AK5" s="69"/>
      <c r="AL5" s="69"/>
      <c r="AM5" s="68"/>
      <c r="AN5" s="68"/>
      <c r="AO5" s="68"/>
      <c r="AP5" s="68"/>
      <c r="AQ5" s="68"/>
      <c r="AR5" s="68"/>
      <c r="AS5" s="70"/>
      <c r="AT5" s="56" t="s">
        <v>450</v>
      </c>
    </row>
    <row r="6" customFormat="false" ht="14.15" hidden="false" customHeight="true" outlineLevel="0" collapsed="false">
      <c r="A6" s="63"/>
      <c r="B6" s="49"/>
      <c r="C6" s="49"/>
      <c r="D6" s="54"/>
      <c r="E6" s="66"/>
      <c r="F6" s="66"/>
      <c r="G6" s="66"/>
      <c r="H6" s="66"/>
      <c r="I6" s="66"/>
      <c r="J6" s="66"/>
      <c r="K6" s="66"/>
      <c r="L6" s="66"/>
      <c r="M6" s="66"/>
      <c r="N6" s="66"/>
      <c r="O6" s="66"/>
      <c r="P6" s="66"/>
      <c r="Q6" s="66"/>
      <c r="R6" s="67"/>
      <c r="S6" s="68"/>
      <c r="T6" s="68"/>
      <c r="U6" s="68"/>
      <c r="V6" s="68"/>
      <c r="W6" s="68"/>
      <c r="X6" s="68"/>
      <c r="Y6" s="68"/>
      <c r="Z6" s="68"/>
      <c r="AA6" s="68"/>
      <c r="AB6" s="68"/>
      <c r="AC6" s="68"/>
      <c r="AD6" s="68"/>
      <c r="AE6" s="68"/>
      <c r="AF6" s="68"/>
      <c r="AG6" s="68"/>
      <c r="AH6" s="68"/>
      <c r="AI6" s="68"/>
      <c r="AJ6" s="68"/>
      <c r="AK6" s="69"/>
      <c r="AL6" s="69"/>
      <c r="AM6" s="68"/>
      <c r="AN6" s="68"/>
      <c r="AO6" s="68"/>
      <c r="AP6" s="68"/>
      <c r="AQ6" s="68"/>
      <c r="AR6" s="68"/>
      <c r="AS6" s="70"/>
      <c r="AT6" s="56" t="s">
        <v>450</v>
      </c>
    </row>
    <row r="7" customFormat="false" ht="14.15" hidden="false" customHeight="true" outlineLevel="0" collapsed="false">
      <c r="A7" s="63"/>
      <c r="B7" s="49"/>
      <c r="C7" s="49"/>
      <c r="D7" s="54"/>
      <c r="E7" s="66"/>
      <c r="F7" s="66"/>
      <c r="G7" s="66"/>
      <c r="H7" s="66"/>
      <c r="I7" s="66"/>
      <c r="J7" s="66"/>
      <c r="K7" s="66"/>
      <c r="L7" s="66"/>
      <c r="M7" s="66"/>
      <c r="N7" s="66"/>
      <c r="O7" s="66"/>
      <c r="P7" s="66"/>
      <c r="Q7" s="66"/>
      <c r="R7" s="67"/>
      <c r="S7" s="68"/>
      <c r="T7" s="68"/>
      <c r="U7" s="68"/>
      <c r="V7" s="68"/>
      <c r="W7" s="68"/>
      <c r="X7" s="68"/>
      <c r="Y7" s="68"/>
      <c r="Z7" s="68"/>
      <c r="AA7" s="68"/>
      <c r="AB7" s="68"/>
      <c r="AC7" s="68"/>
      <c r="AD7" s="68"/>
      <c r="AE7" s="68"/>
      <c r="AF7" s="68"/>
      <c r="AG7" s="68"/>
      <c r="AH7" s="68"/>
      <c r="AI7" s="68"/>
      <c r="AJ7" s="68"/>
      <c r="AK7" s="69"/>
      <c r="AL7" s="69"/>
      <c r="AM7" s="68"/>
      <c r="AN7" s="68"/>
      <c r="AO7" s="68"/>
      <c r="AP7" s="68"/>
      <c r="AQ7" s="68"/>
      <c r="AR7" s="68"/>
      <c r="AS7" s="70"/>
      <c r="AT7" s="56" t="s">
        <v>450</v>
      </c>
    </row>
    <row r="8" customFormat="false" ht="14.15" hidden="false" customHeight="true" outlineLevel="0" collapsed="false">
      <c r="A8" s="71"/>
      <c r="B8" s="71" t="s">
        <v>599</v>
      </c>
      <c r="C8" s="72"/>
      <c r="D8" s="73" t="str">
        <f aca="false">D3</f>
        <v>Date</v>
      </c>
      <c r="E8" s="73" t="str">
        <f aca="false">E3</f>
        <v>D1</v>
      </c>
      <c r="F8" s="73" t="str">
        <f aca="false">F3</f>
        <v>D2</v>
      </c>
      <c r="G8" s="73" t="str">
        <f aca="false">G3</f>
        <v>D3</v>
      </c>
      <c r="H8" s="73" t="str">
        <f aca="false">H3</f>
        <v>D4</v>
      </c>
      <c r="I8" s="73" t="str">
        <f aca="false">I3</f>
        <v>D5</v>
      </c>
      <c r="J8" s="73" t="str">
        <f aca="false">J3</f>
        <v>D6</v>
      </c>
      <c r="K8" s="73" t="str">
        <f aca="false">K3</f>
        <v>D7</v>
      </c>
      <c r="L8" s="73" t="str">
        <f aca="false">L3</f>
        <v>D8</v>
      </c>
      <c r="M8" s="73" t="str">
        <f aca="false">M3</f>
        <v>D9</v>
      </c>
      <c r="N8" s="73" t="str">
        <f aca="false">N3</f>
        <v>D10</v>
      </c>
      <c r="O8" s="73" t="str">
        <f aca="false">O3</f>
        <v>D11</v>
      </c>
      <c r="P8" s="73" t="str">
        <f aca="false">P3</f>
        <v>D12</v>
      </c>
      <c r="Q8" s="73" t="str">
        <f aca="false">Q3</f>
        <v>D13</v>
      </c>
      <c r="R8" s="73" t="str">
        <f aca="false">R3</f>
        <v>D14</v>
      </c>
      <c r="S8" s="73" t="str">
        <f aca="false">S3</f>
        <v>D15</v>
      </c>
      <c r="T8" s="73" t="str">
        <f aca="false">T3</f>
        <v>D16</v>
      </c>
      <c r="U8" s="73" t="str">
        <f aca="false">U3</f>
        <v>D17</v>
      </c>
      <c r="V8" s="73" t="str">
        <f aca="false">V3</f>
        <v>D18</v>
      </c>
      <c r="W8" s="73" t="str">
        <f aca="false">W3</f>
        <v>D19</v>
      </c>
      <c r="X8" s="73" t="str">
        <f aca="false">X3</f>
        <v>D20</v>
      </c>
      <c r="Y8" s="73" t="str">
        <f aca="false">Y3</f>
        <v>D21</v>
      </c>
      <c r="Z8" s="73" t="str">
        <f aca="false">Z3</f>
        <v>D22</v>
      </c>
      <c r="AA8" s="73" t="str">
        <f aca="false">AA3</f>
        <v>D23</v>
      </c>
      <c r="AB8" s="73" t="str">
        <f aca="false">AB3</f>
        <v>D24</v>
      </c>
      <c r="AC8" s="73" t="str">
        <f aca="false">AC3</f>
        <v>D25</v>
      </c>
      <c r="AD8" s="73" t="str">
        <f aca="false">AD3</f>
        <v>D26</v>
      </c>
      <c r="AE8" s="73" t="str">
        <f aca="false">AE3</f>
        <v>D27</v>
      </c>
      <c r="AF8" s="73" t="str">
        <f aca="false">AF3</f>
        <v>D28</v>
      </c>
      <c r="AG8" s="73" t="str">
        <f aca="false">AG3</f>
        <v>D29</v>
      </c>
      <c r="AH8" s="73" t="str">
        <f aca="false">AH3</f>
        <v>D30</v>
      </c>
      <c r="AI8" s="73" t="str">
        <f aca="false">AI3</f>
        <v>D31</v>
      </c>
      <c r="AJ8" s="73" t="str">
        <f aca="false">AJ3</f>
        <v>D32</v>
      </c>
      <c r="AK8" s="73" t="str">
        <f aca="false">AK3</f>
        <v>D33</v>
      </c>
      <c r="AL8" s="73" t="str">
        <f aca="false">AL3</f>
        <v>D34</v>
      </c>
      <c r="AM8" s="73" t="str">
        <f aca="false">AM3</f>
        <v>D35</v>
      </c>
      <c r="AN8" s="73" t="str">
        <f aca="false">AN3</f>
        <v>D36</v>
      </c>
      <c r="AO8" s="73" t="str">
        <f aca="false">AO3</f>
        <v>D37</v>
      </c>
      <c r="AP8" s="73" t="str">
        <f aca="false">AP3</f>
        <v>D38</v>
      </c>
      <c r="AQ8" s="73" t="str">
        <f aca="false">AQ3</f>
        <v>D39</v>
      </c>
      <c r="AR8" s="73" t="str">
        <f aca="false">AR3</f>
        <v>D40</v>
      </c>
      <c r="AS8" s="73" t="str">
        <f aca="false">AS3</f>
        <v>Comment</v>
      </c>
      <c r="AT8" s="72" t="s">
        <v>450</v>
      </c>
    </row>
    <row r="9" customFormat="false" ht="14.15" hidden="false" customHeight="true" outlineLevel="0" collapsed="false">
      <c r="A9" s="63"/>
      <c r="B9" s="49"/>
      <c r="C9" s="49" t="s">
        <v>600</v>
      </c>
      <c r="D9" s="49" t="n">
        <f aca="false">VLOOKUP($C9,$C$13:$AS$43,D$2,0)</f>
        <v>44956</v>
      </c>
      <c r="E9" s="70" t="str">
        <f aca="false">VLOOKUP($C9,$C$13:$AS$43,E$2,0)</f>
        <v>sdf</v>
      </c>
      <c r="F9" s="70" t="str">
        <f aca="false">VLOOKUP($C9,$C$13:$AS$43,F$2,0)</f>
        <v>sdf</v>
      </c>
      <c r="G9" s="70" t="str">
        <f aca="false">VLOOKUP($C9,$C$13:$AS$43,G$2,0)</f>
        <v>sdf</v>
      </c>
      <c r="H9" s="70" t="str">
        <f aca="false">VLOOKUP($C9,$C$13:$AS$43,H$2,0)</f>
        <v>sdf</v>
      </c>
      <c r="I9" s="70" t="str">
        <f aca="false">VLOOKUP($C9,$C$13:$AS$43,I$2,0)</f>
        <v>sdf</v>
      </c>
      <c r="J9" s="70" t="str">
        <f aca="false">VLOOKUP($C9,$C$13:$AS$43,J$2,0)</f>
        <v>sdf</v>
      </c>
      <c r="K9" s="70" t="str">
        <f aca="false">VLOOKUP($C9,$C$13:$AS$43,K$2,0)</f>
        <v>sdf</v>
      </c>
      <c r="L9" s="70" t="str">
        <f aca="false">VLOOKUP($C9,$C$13:$AS$43,L$2,0)</f>
        <v>sdf</v>
      </c>
      <c r="M9" s="70" t="str">
        <f aca="false">VLOOKUP($C9,$C$13:$AS$43,M$2,0)</f>
        <v>sdf</v>
      </c>
      <c r="N9" s="70" t="str">
        <f aca="false">VLOOKUP($C9,$C$13:$AS$43,N$2,0)</f>
        <v>sdf</v>
      </c>
      <c r="O9" s="70" t="str">
        <f aca="false">VLOOKUP($C9,$C$13:$AS$43,O$2,0)</f>
        <v>sdf</v>
      </c>
      <c r="P9" s="70" t="str">
        <f aca="false">VLOOKUP($C9,$C$13:$AS$43,P$2,0)</f>
        <v>sdf</v>
      </c>
      <c r="Q9" s="70" t="str">
        <f aca="false">VLOOKUP($C9,$C$13:$AS$43,Q$2,0)</f>
        <v>sdf</v>
      </c>
      <c r="R9" s="70" t="str">
        <f aca="false">VLOOKUP($C9,$C$13:$AS$43,R$2,0)</f>
        <v>sdf</v>
      </c>
      <c r="S9" s="70" t="str">
        <f aca="false">VLOOKUP($C9,$C$13:$AS$43,S$2,0)</f>
        <v>sdf</v>
      </c>
      <c r="T9" s="70" t="str">
        <f aca="false">VLOOKUP($C9,$C$13:$AS$43,T$2,0)</f>
        <v>sdf</v>
      </c>
      <c r="U9" s="70" t="str">
        <f aca="false">VLOOKUP($C9,$C$13:$AS$43,U$2,0)</f>
        <v>sdf</v>
      </c>
      <c r="V9" s="70" t="str">
        <f aca="false">VLOOKUP($C9,$C$13:$AS$43,V$2,0)</f>
        <v>sdf</v>
      </c>
      <c r="W9" s="70" t="str">
        <f aca="false">VLOOKUP($C9,$C$13:$AS$43,W$2,0)</f>
        <v>sdf</v>
      </c>
      <c r="X9" s="70" t="str">
        <f aca="false">VLOOKUP($C9,$C$13:$AS$43,X$2,0)</f>
        <v>sdf</v>
      </c>
      <c r="Y9" s="70" t="str">
        <f aca="false">VLOOKUP($C9,$C$13:$AS$43,Y$2,0)</f>
        <v>sdf</v>
      </c>
      <c r="Z9" s="70" t="str">
        <f aca="false">VLOOKUP($C9,$C$13:$AS$43,Z$2,0)</f>
        <v>sdf</v>
      </c>
      <c r="AA9" s="70" t="str">
        <f aca="false">VLOOKUP($C9,$C$13:$AS$43,AA$2,0)</f>
        <v>sdf</v>
      </c>
      <c r="AB9" s="70" t="str">
        <f aca="false">VLOOKUP($C9,$C$13:$AS$43,AB$2,0)</f>
        <v>sdf</v>
      </c>
      <c r="AC9" s="70" t="str">
        <f aca="false">VLOOKUP($C9,$C$13:$AS$43,AC$2,0)</f>
        <v>sdf</v>
      </c>
      <c r="AD9" s="70" t="str">
        <f aca="false">VLOOKUP($C9,$C$13:$AS$43,AD$2,0)</f>
        <v>sdf</v>
      </c>
      <c r="AE9" s="70" t="str">
        <f aca="false">VLOOKUP($C9,$C$13:$AS$43,AE$2,0)</f>
        <v>sdf</v>
      </c>
      <c r="AF9" s="70" t="str">
        <f aca="false">VLOOKUP($C9,$C$13:$AS$43,AF$2,0)</f>
        <v>sdf</v>
      </c>
      <c r="AG9" s="70" t="str">
        <f aca="false">VLOOKUP($C9,$C$13:$AS$43,AG$2,0)</f>
        <v>sdf</v>
      </c>
      <c r="AH9" s="70" t="str">
        <f aca="false">VLOOKUP($C9,$C$13:$AS$43,AH$2,0)</f>
        <v>sdf</v>
      </c>
      <c r="AI9" s="70" t="str">
        <f aca="false">VLOOKUP($C9,$C$13:$AS$43,AI$2,0)</f>
        <v>sdf</v>
      </c>
      <c r="AJ9" s="70" t="str">
        <f aca="false">VLOOKUP($C9,$C$13:$AS$43,AJ$2,0)</f>
        <v>sdf</v>
      </c>
      <c r="AK9" s="70" t="str">
        <f aca="false">VLOOKUP($C9,$C$13:$AS$43,AK$2,0)</f>
        <v>sdf</v>
      </c>
      <c r="AL9" s="70" t="str">
        <f aca="false">VLOOKUP($C9,$C$13:$AS$43,AL$2,0)</f>
        <v>sdf</v>
      </c>
      <c r="AM9" s="70" t="str">
        <f aca="false">VLOOKUP($C9,$C$13:$AS$43,AM$2,0)</f>
        <v>sdf</v>
      </c>
      <c r="AN9" s="70" t="str">
        <f aca="false">VLOOKUP($C9,$C$13:$AS$43,AN$2,0)</f>
        <v>sdf</v>
      </c>
      <c r="AO9" s="70" t="str">
        <f aca="false">VLOOKUP($C9,$C$13:$AS$43,AO$2,0)</f>
        <v>sdf</v>
      </c>
      <c r="AP9" s="70" t="str">
        <f aca="false">VLOOKUP($C9,$C$13:$AS$43,AP$2,0)</f>
        <v>sdf</v>
      </c>
      <c r="AQ9" s="70" t="str">
        <f aca="false">VLOOKUP($C9,$C$13:$AS$43,AQ$2,0)</f>
        <v>sdf</v>
      </c>
      <c r="AR9" s="70" t="str">
        <f aca="false">VLOOKUP($C9,$C$13:$AS$43,AR$2,0)</f>
        <v>sdf</v>
      </c>
      <c r="AS9" s="70" t="str">
        <f aca="false">VLOOKUP($C9,$C$13:$AS$43,AS$2,0)</f>
        <v>sdf</v>
      </c>
      <c r="AT9" s="56" t="s">
        <v>450</v>
      </c>
    </row>
    <row r="10" customFormat="false" ht="14.15" hidden="false" customHeight="true" outlineLevel="0" collapsed="false">
      <c r="A10" s="63"/>
      <c r="B10" s="49"/>
      <c r="C10" s="49" t="s">
        <v>601</v>
      </c>
      <c r="D10" s="49" t="n">
        <f aca="false">VLOOKUP($C10,$C$13:$AS$43,D$2,0)</f>
        <v>44957</v>
      </c>
      <c r="E10" s="70" t="n">
        <f aca="false">VLOOKUP($C10,$C$13:$AS$43,E$2,0)</f>
        <v>1</v>
      </c>
      <c r="F10" s="70" t="n">
        <f aca="false">VLOOKUP($C10,$C$13:$AS$43,F$2,0)</f>
        <v>2</v>
      </c>
      <c r="G10" s="70" t="n">
        <f aca="false">VLOOKUP($C10,$C$13:$AS$43,G$2,0)</f>
        <v>1</v>
      </c>
      <c r="H10" s="70" t="n">
        <f aca="false">VLOOKUP($C10,$C$13:$AS$43,H$2,0)</f>
        <v>1</v>
      </c>
      <c r="I10" s="70" t="n">
        <f aca="false">VLOOKUP($C10,$C$13:$AS$43,I$2,0)</f>
        <v>1</v>
      </c>
      <c r="J10" s="70" t="n">
        <f aca="false">VLOOKUP($C10,$C$13:$AS$43,J$2,0)</f>
        <v>1</v>
      </c>
      <c r="K10" s="70" t="n">
        <f aca="false">VLOOKUP($C10,$C$13:$AS$43,K$2,0)</f>
        <v>1</v>
      </c>
      <c r="L10" s="70" t="n">
        <f aca="false">VLOOKUP($C10,$C$13:$AS$43,L$2,0)</f>
        <v>1</v>
      </c>
      <c r="M10" s="70" t="n">
        <f aca="false">VLOOKUP($C10,$C$13:$AS$43,M$2,0)</f>
        <v>1</v>
      </c>
      <c r="N10" s="70" t="n">
        <f aca="false">VLOOKUP($C10,$C$13:$AS$43,N$2,0)</f>
        <v>1</v>
      </c>
      <c r="O10" s="70" t="n">
        <f aca="false">VLOOKUP($C10,$C$13:$AS$43,O$2,0)</f>
        <v>1</v>
      </c>
      <c r="P10" s="70" t="n">
        <f aca="false">VLOOKUP($C10,$C$13:$AS$43,P$2,0)</f>
        <v>1</v>
      </c>
      <c r="Q10" s="70" t="n">
        <f aca="false">VLOOKUP($C10,$C$13:$AS$43,Q$2,0)</f>
        <v>1</v>
      </c>
      <c r="R10" s="70" t="n">
        <f aca="false">VLOOKUP($C10,$C$13:$AS$43,R$2,0)</f>
        <v>1</v>
      </c>
      <c r="S10" s="70" t="n">
        <f aca="false">VLOOKUP($C10,$C$13:$AS$43,S$2,0)</f>
        <v>1</v>
      </c>
      <c r="T10" s="70" t="n">
        <f aca="false">VLOOKUP($C10,$C$13:$AS$43,T$2,0)</f>
        <v>1</v>
      </c>
      <c r="U10" s="70" t="n">
        <f aca="false">VLOOKUP($C10,$C$13:$AS$43,U$2,0)</f>
        <v>1</v>
      </c>
      <c r="V10" s="70" t="n">
        <f aca="false">VLOOKUP($C10,$C$13:$AS$43,V$2,0)</f>
        <v>1</v>
      </c>
      <c r="W10" s="70" t="n">
        <f aca="false">VLOOKUP($C10,$C$13:$AS$43,W$2,0)</f>
        <v>1</v>
      </c>
      <c r="X10" s="70" t="n">
        <f aca="false">VLOOKUP($C10,$C$13:$AS$43,X$2,0)</f>
        <v>1</v>
      </c>
      <c r="Y10" s="70" t="n">
        <f aca="false">VLOOKUP($C10,$C$13:$AS$43,Y$2,0)</f>
        <v>1</v>
      </c>
      <c r="Z10" s="70" t="n">
        <f aca="false">VLOOKUP($C10,$C$13:$AS$43,Z$2,0)</f>
        <v>1</v>
      </c>
      <c r="AA10" s="70" t="n">
        <f aca="false">VLOOKUP($C10,$C$13:$AS$43,AA$2,0)</f>
        <v>1</v>
      </c>
      <c r="AB10" s="70" t="n">
        <f aca="false">VLOOKUP($C10,$C$13:$AS$43,AB$2,0)</f>
        <v>1</v>
      </c>
      <c r="AC10" s="70" t="n">
        <f aca="false">VLOOKUP($C10,$C$13:$AS$43,AC$2,0)</f>
        <v>1</v>
      </c>
      <c r="AD10" s="70" t="n">
        <f aca="false">VLOOKUP($C10,$C$13:$AS$43,AD$2,0)</f>
        <v>1</v>
      </c>
      <c r="AE10" s="70" t="n">
        <f aca="false">VLOOKUP($C10,$C$13:$AS$43,AE$2,0)</f>
        <v>1</v>
      </c>
      <c r="AF10" s="70" t="n">
        <f aca="false">VLOOKUP($C10,$C$13:$AS$43,AF$2,0)</f>
        <v>1</v>
      </c>
      <c r="AG10" s="70" t="n">
        <f aca="false">VLOOKUP($C10,$C$13:$AS$43,AG$2,0)</f>
        <v>1</v>
      </c>
      <c r="AH10" s="70" t="n">
        <f aca="false">VLOOKUP($C10,$C$13:$AS$43,AH$2,0)</f>
        <v>1</v>
      </c>
      <c r="AI10" s="70" t="n">
        <f aca="false">VLOOKUP($C10,$C$13:$AS$43,AI$2,0)</f>
        <v>1</v>
      </c>
      <c r="AJ10" s="70" t="n">
        <f aca="false">VLOOKUP($C10,$C$13:$AS$43,AJ$2,0)</f>
        <v>1</v>
      </c>
      <c r="AK10" s="70" t="n">
        <f aca="false">VLOOKUP($C10,$C$13:$AS$43,AK$2,0)</f>
        <v>1</v>
      </c>
      <c r="AL10" s="70" t="n">
        <f aca="false">VLOOKUP($C10,$C$13:$AS$43,AL$2,0)</f>
        <v>1</v>
      </c>
      <c r="AM10" s="70" t="n">
        <f aca="false">VLOOKUP($C10,$C$13:$AS$43,AM$2,0)</f>
        <v>1</v>
      </c>
      <c r="AN10" s="70" t="n">
        <f aca="false">VLOOKUP($C10,$C$13:$AS$43,AN$2,0)</f>
        <v>1</v>
      </c>
      <c r="AO10" s="70" t="n">
        <f aca="false">VLOOKUP($C10,$C$13:$AS$43,AO$2,0)</f>
        <v>1</v>
      </c>
      <c r="AP10" s="70" t="n">
        <f aca="false">VLOOKUP($C10,$C$13:$AS$43,AP$2,0)</f>
        <v>1</v>
      </c>
      <c r="AQ10" s="70" t="n">
        <f aca="false">VLOOKUP($C10,$C$13:$AS$43,AQ$2,0)</f>
        <v>1</v>
      </c>
      <c r="AR10" s="70" t="n">
        <f aca="false">VLOOKUP($C10,$C$13:$AS$43,AR$2,0)</f>
        <v>1</v>
      </c>
      <c r="AS10" s="70" t="n">
        <f aca="false">VLOOKUP($C10,$C$13:$AS$43,AS$2,0)</f>
        <v>1</v>
      </c>
      <c r="AT10" s="56" t="s">
        <v>450</v>
      </c>
    </row>
    <row r="11" customFormat="false" ht="14.15" hidden="false" customHeight="true" outlineLevel="0" collapsed="false">
      <c r="A11" s="63"/>
      <c r="B11" s="49"/>
      <c r="C11" s="49" t="s">
        <v>602</v>
      </c>
      <c r="D11" s="49" t="n">
        <f aca="false">VLOOKUP($C11,$C$13:$AS$43,D$2,0)</f>
        <v>44958</v>
      </c>
      <c r="E11" s="70" t="n">
        <f aca="false">VLOOKUP($C11,$C$13:$AS$43,E$2,0)</f>
        <v>2</v>
      </c>
      <c r="F11" s="70" t="n">
        <f aca="false">VLOOKUP($C11,$C$13:$AS$43,F$2,0)</f>
        <v>3</v>
      </c>
      <c r="G11" s="70" t="n">
        <f aca="false">VLOOKUP($C11,$C$13:$AS$43,G$2,0)</f>
        <v>2</v>
      </c>
      <c r="H11" s="70" t="n">
        <f aca="false">VLOOKUP($C11,$C$13:$AS$43,H$2,0)</f>
        <v>2</v>
      </c>
      <c r="I11" s="70" t="n">
        <f aca="false">VLOOKUP($C11,$C$13:$AS$43,I$2,0)</f>
        <v>2</v>
      </c>
      <c r="J11" s="70" t="n">
        <f aca="false">VLOOKUP($C11,$C$13:$AS$43,J$2,0)</f>
        <v>2</v>
      </c>
      <c r="K11" s="70" t="n">
        <f aca="false">VLOOKUP($C11,$C$13:$AS$43,K$2,0)</f>
        <v>2</v>
      </c>
      <c r="L11" s="70" t="n">
        <f aca="false">VLOOKUP($C11,$C$13:$AS$43,L$2,0)</f>
        <v>2</v>
      </c>
      <c r="M11" s="70" t="n">
        <f aca="false">VLOOKUP($C11,$C$13:$AS$43,M$2,0)</f>
        <v>2</v>
      </c>
      <c r="N11" s="70" t="n">
        <f aca="false">VLOOKUP($C11,$C$13:$AS$43,N$2,0)</f>
        <v>2</v>
      </c>
      <c r="O11" s="70" t="n">
        <f aca="false">VLOOKUP($C11,$C$13:$AS$43,O$2,0)</f>
        <v>2</v>
      </c>
      <c r="P11" s="70" t="n">
        <f aca="false">VLOOKUP($C11,$C$13:$AS$43,P$2,0)</f>
        <v>2</v>
      </c>
      <c r="Q11" s="70" t="n">
        <f aca="false">VLOOKUP($C11,$C$13:$AS$43,Q$2,0)</f>
        <v>2</v>
      </c>
      <c r="R11" s="70" t="n">
        <f aca="false">VLOOKUP($C11,$C$13:$AS$43,R$2,0)</f>
        <v>2</v>
      </c>
      <c r="S11" s="70" t="n">
        <f aca="false">VLOOKUP($C11,$C$13:$AS$43,S$2,0)</f>
        <v>2</v>
      </c>
      <c r="T11" s="70" t="n">
        <f aca="false">VLOOKUP($C11,$C$13:$AS$43,T$2,0)</f>
        <v>2</v>
      </c>
      <c r="U11" s="70" t="n">
        <f aca="false">VLOOKUP($C11,$C$13:$AS$43,U$2,0)</f>
        <v>2</v>
      </c>
      <c r="V11" s="70" t="n">
        <f aca="false">VLOOKUP($C11,$C$13:$AS$43,V$2,0)</f>
        <v>2</v>
      </c>
      <c r="W11" s="70" t="n">
        <f aca="false">VLOOKUP($C11,$C$13:$AS$43,W$2,0)</f>
        <v>2</v>
      </c>
      <c r="X11" s="70" t="n">
        <f aca="false">VLOOKUP($C11,$C$13:$AS$43,X$2,0)</f>
        <v>2</v>
      </c>
      <c r="Y11" s="70" t="n">
        <f aca="false">VLOOKUP($C11,$C$13:$AS$43,Y$2,0)</f>
        <v>2</v>
      </c>
      <c r="Z11" s="70" t="n">
        <f aca="false">VLOOKUP($C11,$C$13:$AS$43,Z$2,0)</f>
        <v>2</v>
      </c>
      <c r="AA11" s="70" t="n">
        <f aca="false">VLOOKUP($C11,$C$13:$AS$43,AA$2,0)</f>
        <v>2</v>
      </c>
      <c r="AB11" s="70" t="n">
        <f aca="false">VLOOKUP($C11,$C$13:$AS$43,AB$2,0)</f>
        <v>2</v>
      </c>
      <c r="AC11" s="70" t="n">
        <f aca="false">VLOOKUP($C11,$C$13:$AS$43,AC$2,0)</f>
        <v>2</v>
      </c>
      <c r="AD11" s="70" t="n">
        <f aca="false">VLOOKUP($C11,$C$13:$AS$43,AD$2,0)</f>
        <v>2</v>
      </c>
      <c r="AE11" s="70" t="n">
        <f aca="false">VLOOKUP($C11,$C$13:$AS$43,AE$2,0)</f>
        <v>2</v>
      </c>
      <c r="AF11" s="70" t="n">
        <f aca="false">VLOOKUP($C11,$C$13:$AS$43,AF$2,0)</f>
        <v>2</v>
      </c>
      <c r="AG11" s="70" t="n">
        <f aca="false">VLOOKUP($C11,$C$13:$AS$43,AG$2,0)</f>
        <v>2</v>
      </c>
      <c r="AH11" s="70" t="n">
        <f aca="false">VLOOKUP($C11,$C$13:$AS$43,AH$2,0)</f>
        <v>2</v>
      </c>
      <c r="AI11" s="70" t="n">
        <f aca="false">VLOOKUP($C11,$C$13:$AS$43,AI$2,0)</f>
        <v>2</v>
      </c>
      <c r="AJ11" s="70" t="n">
        <f aca="false">VLOOKUP($C11,$C$13:$AS$43,AJ$2,0)</f>
        <v>2</v>
      </c>
      <c r="AK11" s="70" t="n">
        <f aca="false">VLOOKUP($C11,$C$13:$AS$43,AK$2,0)</f>
        <v>2</v>
      </c>
      <c r="AL11" s="70" t="n">
        <f aca="false">VLOOKUP($C11,$C$13:$AS$43,AL$2,0)</f>
        <v>2</v>
      </c>
      <c r="AM11" s="70" t="n">
        <f aca="false">VLOOKUP($C11,$C$13:$AS$43,AM$2,0)</f>
        <v>2</v>
      </c>
      <c r="AN11" s="70" t="n">
        <f aca="false">VLOOKUP($C11,$C$13:$AS$43,AN$2,0)</f>
        <v>2</v>
      </c>
      <c r="AO11" s="70" t="n">
        <f aca="false">VLOOKUP($C11,$C$13:$AS$43,AO$2,0)</f>
        <v>2</v>
      </c>
      <c r="AP11" s="70" t="n">
        <f aca="false">VLOOKUP($C11,$C$13:$AS$43,AP$2,0)</f>
        <v>2</v>
      </c>
      <c r="AQ11" s="70" t="n">
        <f aca="false">VLOOKUP($C11,$C$13:$AS$43,AQ$2,0)</f>
        <v>2</v>
      </c>
      <c r="AR11" s="70" t="n">
        <f aca="false">VLOOKUP($C11,$C$13:$AS$43,AR$2,0)</f>
        <v>2</v>
      </c>
      <c r="AS11" s="70" t="n">
        <f aca="false">VLOOKUP($C11,$C$13:$AS$43,AS$2,0)</f>
        <v>2</v>
      </c>
      <c r="AT11" s="56" t="s">
        <v>450</v>
      </c>
    </row>
    <row r="12" customFormat="false" ht="14.15" hidden="false" customHeight="true" outlineLevel="0" collapsed="false">
      <c r="A12" s="74"/>
      <c r="B12" s="71" t="s">
        <v>603</v>
      </c>
      <c r="C12" s="75"/>
      <c r="D12" s="73" t="str">
        <f aca="false">D3</f>
        <v>Date</v>
      </c>
      <c r="E12" s="73" t="str">
        <f aca="false">E8</f>
        <v>D1</v>
      </c>
      <c r="F12" s="73" t="str">
        <f aca="false">F8</f>
        <v>D2</v>
      </c>
      <c r="G12" s="73" t="str">
        <f aca="false">G8</f>
        <v>D3</v>
      </c>
      <c r="H12" s="73" t="str">
        <f aca="false">H8</f>
        <v>D4</v>
      </c>
      <c r="I12" s="73" t="str">
        <f aca="false">I8</f>
        <v>D5</v>
      </c>
      <c r="J12" s="73" t="str">
        <f aca="false">J8</f>
        <v>D6</v>
      </c>
      <c r="K12" s="73" t="str">
        <f aca="false">K8</f>
        <v>D7</v>
      </c>
      <c r="L12" s="73" t="str">
        <f aca="false">L8</f>
        <v>D8</v>
      </c>
      <c r="M12" s="73" t="str">
        <f aca="false">M8</f>
        <v>D9</v>
      </c>
      <c r="N12" s="73" t="str">
        <f aca="false">N8</f>
        <v>D10</v>
      </c>
      <c r="O12" s="73" t="str">
        <f aca="false">O8</f>
        <v>D11</v>
      </c>
      <c r="P12" s="73" t="str">
        <f aca="false">P8</f>
        <v>D12</v>
      </c>
      <c r="Q12" s="73" t="str">
        <f aca="false">Q8</f>
        <v>D13</v>
      </c>
      <c r="R12" s="73" t="str">
        <f aca="false">R8</f>
        <v>D14</v>
      </c>
      <c r="S12" s="73" t="str">
        <f aca="false">S8</f>
        <v>D15</v>
      </c>
      <c r="T12" s="73" t="str">
        <f aca="false">T8</f>
        <v>D16</v>
      </c>
      <c r="U12" s="73" t="str">
        <f aca="false">U8</f>
        <v>D17</v>
      </c>
      <c r="V12" s="73" t="str">
        <f aca="false">V8</f>
        <v>D18</v>
      </c>
      <c r="W12" s="73" t="str">
        <f aca="false">W8</f>
        <v>D19</v>
      </c>
      <c r="X12" s="73" t="str">
        <f aca="false">X8</f>
        <v>D20</v>
      </c>
      <c r="Y12" s="73" t="str">
        <f aca="false">Y8</f>
        <v>D21</v>
      </c>
      <c r="Z12" s="73" t="str">
        <f aca="false">Z8</f>
        <v>D22</v>
      </c>
      <c r="AA12" s="73" t="str">
        <f aca="false">AA8</f>
        <v>D23</v>
      </c>
      <c r="AB12" s="73" t="str">
        <f aca="false">AB8</f>
        <v>D24</v>
      </c>
      <c r="AC12" s="73" t="str">
        <f aca="false">AC8</f>
        <v>D25</v>
      </c>
      <c r="AD12" s="73" t="str">
        <f aca="false">AD8</f>
        <v>D26</v>
      </c>
      <c r="AE12" s="73" t="str">
        <f aca="false">AE8</f>
        <v>D27</v>
      </c>
      <c r="AF12" s="73" t="str">
        <f aca="false">AF8</f>
        <v>D28</v>
      </c>
      <c r="AG12" s="73" t="str">
        <f aca="false">AG8</f>
        <v>D29</v>
      </c>
      <c r="AH12" s="73" t="str">
        <f aca="false">AH8</f>
        <v>D30</v>
      </c>
      <c r="AI12" s="73" t="str">
        <f aca="false">AI8</f>
        <v>D31</v>
      </c>
      <c r="AJ12" s="73" t="str">
        <f aca="false">AJ8</f>
        <v>D32</v>
      </c>
      <c r="AK12" s="73" t="str">
        <f aca="false">AK8</f>
        <v>D33</v>
      </c>
      <c r="AL12" s="73" t="str">
        <f aca="false">AL8</f>
        <v>D34</v>
      </c>
      <c r="AM12" s="73" t="str">
        <f aca="false">AM8</f>
        <v>D35</v>
      </c>
      <c r="AN12" s="73" t="str">
        <f aca="false">AN8</f>
        <v>D36</v>
      </c>
      <c r="AO12" s="73" t="str">
        <f aca="false">AO8</f>
        <v>D37</v>
      </c>
      <c r="AP12" s="73" t="str">
        <f aca="false">AP8</f>
        <v>D38</v>
      </c>
      <c r="AQ12" s="73" t="str">
        <f aca="false">AQ8</f>
        <v>D39</v>
      </c>
      <c r="AR12" s="73" t="str">
        <f aca="false">AR8</f>
        <v>D40</v>
      </c>
      <c r="AS12" s="73" t="str">
        <f aca="false">AS8</f>
        <v>Comment</v>
      </c>
      <c r="AT12" s="73"/>
    </row>
    <row r="13" customFormat="false" ht="14.15" hidden="false" customHeight="true" outlineLevel="0" collapsed="false">
      <c r="A13" s="63"/>
      <c r="B13" s="49"/>
      <c r="C13" s="49" t="str">
        <f aca="false">IF(AND(E13&lt;&gt;"",E14=""),"L",IF(AND(E14&lt;&gt;"",E15=""),"BL",IF(AND(E15&lt;&gt;"",E15&lt;&gt;"",E16=""),"BBL"," - ")))</f>
        <v>-</v>
      </c>
      <c r="D13" s="54" t="n">
        <v>44946</v>
      </c>
      <c r="E13" s="66" t="s">
        <v>604</v>
      </c>
      <c r="F13" s="66" t="s">
        <v>604</v>
      </c>
      <c r="G13" s="66" t="s">
        <v>604</v>
      </c>
      <c r="H13" s="66" t="s">
        <v>604</v>
      </c>
      <c r="I13" s="66" t="s">
        <v>604</v>
      </c>
      <c r="J13" s="66" t="s">
        <v>604</v>
      </c>
      <c r="K13" s="66" t="s">
        <v>604</v>
      </c>
      <c r="L13" s="66" t="s">
        <v>604</v>
      </c>
      <c r="M13" s="66" t="s">
        <v>604</v>
      </c>
      <c r="N13" s="66" t="s">
        <v>604</v>
      </c>
      <c r="O13" s="66" t="s">
        <v>604</v>
      </c>
      <c r="P13" s="66" t="s">
        <v>604</v>
      </c>
      <c r="Q13" s="66" t="s">
        <v>604</v>
      </c>
      <c r="R13" s="66" t="s">
        <v>604</v>
      </c>
      <c r="S13" s="66" t="s">
        <v>604</v>
      </c>
      <c r="T13" s="66" t="s">
        <v>604</v>
      </c>
      <c r="U13" s="66" t="s">
        <v>604</v>
      </c>
      <c r="V13" s="66" t="s">
        <v>604</v>
      </c>
      <c r="W13" s="66" t="s">
        <v>604</v>
      </c>
      <c r="X13" s="66" t="s">
        <v>604</v>
      </c>
      <c r="Y13" s="66" t="s">
        <v>604</v>
      </c>
      <c r="Z13" s="66" t="s">
        <v>604</v>
      </c>
      <c r="AA13" s="66" t="s">
        <v>604</v>
      </c>
      <c r="AB13" s="66" t="s">
        <v>604</v>
      </c>
      <c r="AC13" s="66" t="s">
        <v>604</v>
      </c>
      <c r="AD13" s="66" t="s">
        <v>604</v>
      </c>
      <c r="AE13" s="66" t="s">
        <v>604</v>
      </c>
      <c r="AF13" s="66" t="s">
        <v>604</v>
      </c>
      <c r="AG13" s="66" t="s">
        <v>604</v>
      </c>
      <c r="AH13" s="66" t="s">
        <v>604</v>
      </c>
      <c r="AI13" s="66" t="s">
        <v>604</v>
      </c>
      <c r="AJ13" s="66" t="s">
        <v>604</v>
      </c>
      <c r="AK13" s="66" t="s">
        <v>604</v>
      </c>
      <c r="AL13" s="66" t="s">
        <v>604</v>
      </c>
      <c r="AM13" s="66" t="s">
        <v>604</v>
      </c>
      <c r="AN13" s="66" t="s">
        <v>604</v>
      </c>
      <c r="AO13" s="66" t="s">
        <v>604</v>
      </c>
      <c r="AP13" s="66" t="s">
        <v>604</v>
      </c>
      <c r="AQ13" s="66" t="s">
        <v>604</v>
      </c>
      <c r="AR13" s="66" t="s">
        <v>604</v>
      </c>
      <c r="AS13" s="66" t="s">
        <v>604</v>
      </c>
      <c r="AT13" s="56" t="s">
        <v>450</v>
      </c>
    </row>
    <row r="14" customFormat="false" ht="14.15" hidden="false" customHeight="true" outlineLevel="0" collapsed="false">
      <c r="A14" s="63"/>
      <c r="B14" s="49"/>
      <c r="C14" s="49" t="str">
        <f aca="false">IF(AND(E14&lt;&gt;"",E15=""),"L",IF(AND(E15&lt;&gt;"",E16=""),"BL",IF(AND(E16&lt;&gt;"",E16&lt;&gt;"",E17=""),"BBL"," - ")))</f>
        <v>-</v>
      </c>
      <c r="D14" s="54" t="n">
        <v>44947</v>
      </c>
      <c r="E14" s="66" t="s">
        <v>604</v>
      </c>
      <c r="F14" s="66" t="s">
        <v>604</v>
      </c>
      <c r="G14" s="66" t="s">
        <v>604</v>
      </c>
      <c r="H14" s="66" t="s">
        <v>604</v>
      </c>
      <c r="I14" s="66" t="s">
        <v>604</v>
      </c>
      <c r="J14" s="66" t="s">
        <v>604</v>
      </c>
      <c r="K14" s="66" t="s">
        <v>604</v>
      </c>
      <c r="L14" s="66" t="s">
        <v>604</v>
      </c>
      <c r="M14" s="66" t="s">
        <v>604</v>
      </c>
      <c r="N14" s="66" t="s">
        <v>604</v>
      </c>
      <c r="O14" s="66" t="s">
        <v>604</v>
      </c>
      <c r="P14" s="66" t="s">
        <v>604</v>
      </c>
      <c r="Q14" s="66" t="s">
        <v>604</v>
      </c>
      <c r="R14" s="66" t="s">
        <v>604</v>
      </c>
      <c r="S14" s="66" t="s">
        <v>604</v>
      </c>
      <c r="T14" s="66" t="s">
        <v>604</v>
      </c>
      <c r="U14" s="66" t="s">
        <v>604</v>
      </c>
      <c r="V14" s="66" t="s">
        <v>604</v>
      </c>
      <c r="W14" s="66" t="s">
        <v>604</v>
      </c>
      <c r="X14" s="66" t="s">
        <v>604</v>
      </c>
      <c r="Y14" s="66" t="s">
        <v>604</v>
      </c>
      <c r="Z14" s="66" t="s">
        <v>604</v>
      </c>
      <c r="AA14" s="66" t="s">
        <v>604</v>
      </c>
      <c r="AB14" s="66" t="s">
        <v>604</v>
      </c>
      <c r="AC14" s="66" t="s">
        <v>604</v>
      </c>
      <c r="AD14" s="66" t="s">
        <v>604</v>
      </c>
      <c r="AE14" s="66" t="s">
        <v>604</v>
      </c>
      <c r="AF14" s="66" t="s">
        <v>604</v>
      </c>
      <c r="AG14" s="66" t="s">
        <v>604</v>
      </c>
      <c r="AH14" s="66" t="s">
        <v>604</v>
      </c>
      <c r="AI14" s="66" t="s">
        <v>604</v>
      </c>
      <c r="AJ14" s="66" t="s">
        <v>604</v>
      </c>
      <c r="AK14" s="66" t="s">
        <v>604</v>
      </c>
      <c r="AL14" s="66" t="s">
        <v>604</v>
      </c>
      <c r="AM14" s="66" t="s">
        <v>604</v>
      </c>
      <c r="AN14" s="66" t="s">
        <v>604</v>
      </c>
      <c r="AO14" s="66" t="s">
        <v>604</v>
      </c>
      <c r="AP14" s="66" t="s">
        <v>604</v>
      </c>
      <c r="AQ14" s="66" t="s">
        <v>604</v>
      </c>
      <c r="AR14" s="66" t="s">
        <v>604</v>
      </c>
      <c r="AS14" s="66" t="s">
        <v>604</v>
      </c>
      <c r="AT14" s="56" t="s">
        <v>450</v>
      </c>
    </row>
    <row r="15" customFormat="false" ht="14.15" hidden="false" customHeight="true" outlineLevel="0" collapsed="false">
      <c r="A15" s="63"/>
      <c r="B15" s="49"/>
      <c r="C15" s="49" t="str">
        <f aca="false">IF(AND(E15&lt;&gt;"",E16=""),"L",IF(AND(E16&lt;&gt;"",E17=""),"BL",IF(AND(E17&lt;&gt;"",E17&lt;&gt;"",E18=""),"BBL"," - ")))</f>
        <v>-</v>
      </c>
      <c r="D15" s="54" t="n">
        <v>44948</v>
      </c>
      <c r="E15" s="66" t="s">
        <v>604</v>
      </c>
      <c r="F15" s="66" t="s">
        <v>604</v>
      </c>
      <c r="G15" s="66" t="s">
        <v>604</v>
      </c>
      <c r="H15" s="66" t="s">
        <v>604</v>
      </c>
      <c r="I15" s="66" t="s">
        <v>604</v>
      </c>
      <c r="J15" s="66" t="s">
        <v>604</v>
      </c>
      <c r="K15" s="66" t="s">
        <v>604</v>
      </c>
      <c r="L15" s="66" t="s">
        <v>604</v>
      </c>
      <c r="M15" s="66" t="s">
        <v>604</v>
      </c>
      <c r="N15" s="66" t="s">
        <v>604</v>
      </c>
      <c r="O15" s="66" t="s">
        <v>604</v>
      </c>
      <c r="P15" s="66" t="s">
        <v>604</v>
      </c>
      <c r="Q15" s="66" t="s">
        <v>604</v>
      </c>
      <c r="R15" s="66" t="s">
        <v>604</v>
      </c>
      <c r="S15" s="66" t="s">
        <v>604</v>
      </c>
      <c r="T15" s="66" t="s">
        <v>604</v>
      </c>
      <c r="U15" s="66" t="s">
        <v>604</v>
      </c>
      <c r="V15" s="66" t="s">
        <v>604</v>
      </c>
      <c r="W15" s="66" t="s">
        <v>604</v>
      </c>
      <c r="X15" s="66" t="s">
        <v>604</v>
      </c>
      <c r="Y15" s="66" t="s">
        <v>604</v>
      </c>
      <c r="Z15" s="66" t="s">
        <v>604</v>
      </c>
      <c r="AA15" s="66" t="s">
        <v>604</v>
      </c>
      <c r="AB15" s="66" t="s">
        <v>604</v>
      </c>
      <c r="AC15" s="66" t="s">
        <v>604</v>
      </c>
      <c r="AD15" s="66" t="s">
        <v>604</v>
      </c>
      <c r="AE15" s="66" t="s">
        <v>604</v>
      </c>
      <c r="AF15" s="66" t="s">
        <v>604</v>
      </c>
      <c r="AG15" s="66" t="s">
        <v>604</v>
      </c>
      <c r="AH15" s="66" t="s">
        <v>604</v>
      </c>
      <c r="AI15" s="66" t="s">
        <v>604</v>
      </c>
      <c r="AJ15" s="66" t="s">
        <v>604</v>
      </c>
      <c r="AK15" s="66" t="s">
        <v>604</v>
      </c>
      <c r="AL15" s="66" t="s">
        <v>604</v>
      </c>
      <c r="AM15" s="66" t="s">
        <v>604</v>
      </c>
      <c r="AN15" s="66" t="s">
        <v>604</v>
      </c>
      <c r="AO15" s="66" t="s">
        <v>604</v>
      </c>
      <c r="AP15" s="66" t="s">
        <v>604</v>
      </c>
      <c r="AQ15" s="66" t="s">
        <v>604</v>
      </c>
      <c r="AR15" s="66" t="s">
        <v>604</v>
      </c>
      <c r="AS15" s="66" t="s">
        <v>604</v>
      </c>
      <c r="AT15" s="56" t="s">
        <v>450</v>
      </c>
    </row>
    <row r="16" customFormat="false" ht="14.15" hidden="false" customHeight="true" outlineLevel="0" collapsed="false">
      <c r="A16" s="63"/>
      <c r="B16" s="49"/>
      <c r="C16" s="49" t="str">
        <f aca="false">IF(AND(E16&lt;&gt;"",E17=""),"L",IF(AND(E17&lt;&gt;"",E18=""),"BL",IF(AND(E18&lt;&gt;"",E18&lt;&gt;"",E19=""),"BBL"," - ")))</f>
        <v>-</v>
      </c>
      <c r="D16" s="54" t="n">
        <v>44949</v>
      </c>
      <c r="E16" s="66" t="s">
        <v>605</v>
      </c>
      <c r="F16" s="66" t="s">
        <v>605</v>
      </c>
      <c r="G16" s="66" t="s">
        <v>605</v>
      </c>
      <c r="H16" s="66" t="s">
        <v>605</v>
      </c>
      <c r="I16" s="66" t="s">
        <v>605</v>
      </c>
      <c r="J16" s="66" t="s">
        <v>605</v>
      </c>
      <c r="K16" s="66" t="s">
        <v>605</v>
      </c>
      <c r="L16" s="66" t="s">
        <v>605</v>
      </c>
      <c r="M16" s="66" t="s">
        <v>605</v>
      </c>
      <c r="N16" s="66" t="s">
        <v>605</v>
      </c>
      <c r="O16" s="66" t="s">
        <v>605</v>
      </c>
      <c r="P16" s="66" t="s">
        <v>605</v>
      </c>
      <c r="Q16" s="66" t="s">
        <v>605</v>
      </c>
      <c r="R16" s="66" t="s">
        <v>605</v>
      </c>
      <c r="S16" s="66" t="s">
        <v>605</v>
      </c>
      <c r="T16" s="66" t="s">
        <v>605</v>
      </c>
      <c r="U16" s="66" t="s">
        <v>605</v>
      </c>
      <c r="V16" s="66" t="s">
        <v>605</v>
      </c>
      <c r="W16" s="66" t="s">
        <v>605</v>
      </c>
      <c r="X16" s="66" t="s">
        <v>605</v>
      </c>
      <c r="Y16" s="66" t="s">
        <v>605</v>
      </c>
      <c r="Z16" s="66" t="s">
        <v>605</v>
      </c>
      <c r="AA16" s="66" t="s">
        <v>605</v>
      </c>
      <c r="AB16" s="66" t="s">
        <v>605</v>
      </c>
      <c r="AC16" s="66" t="s">
        <v>605</v>
      </c>
      <c r="AD16" s="66" t="s">
        <v>605</v>
      </c>
      <c r="AE16" s="66" t="s">
        <v>605</v>
      </c>
      <c r="AF16" s="66" t="s">
        <v>605</v>
      </c>
      <c r="AG16" s="66" t="s">
        <v>605</v>
      </c>
      <c r="AH16" s="66" t="s">
        <v>605</v>
      </c>
      <c r="AI16" s="66" t="s">
        <v>605</v>
      </c>
      <c r="AJ16" s="66" t="s">
        <v>605</v>
      </c>
      <c r="AK16" s="66" t="s">
        <v>605</v>
      </c>
      <c r="AL16" s="66" t="s">
        <v>605</v>
      </c>
      <c r="AM16" s="66" t="s">
        <v>605</v>
      </c>
      <c r="AN16" s="66" t="s">
        <v>605</v>
      </c>
      <c r="AO16" s="66" t="s">
        <v>605</v>
      </c>
      <c r="AP16" s="66" t="s">
        <v>605</v>
      </c>
      <c r="AQ16" s="66" t="s">
        <v>605</v>
      </c>
      <c r="AR16" s="66" t="s">
        <v>605</v>
      </c>
      <c r="AS16" s="66" t="s">
        <v>605</v>
      </c>
      <c r="AT16" s="56" t="s">
        <v>450</v>
      </c>
    </row>
    <row r="17" customFormat="false" ht="14.15" hidden="false" customHeight="true" outlineLevel="0" collapsed="false">
      <c r="A17" s="63"/>
      <c r="B17" s="49"/>
      <c r="C17" s="49" t="str">
        <f aca="false">IF(AND(E17&lt;&gt;"",E18=""),"L",IF(AND(E18&lt;&gt;"",E19=""),"BL",IF(AND(E19&lt;&gt;"",E19&lt;&gt;"",E20=""),"BBL"," - ")))</f>
        <v>-</v>
      </c>
      <c r="D17" s="54" t="n">
        <v>44950</v>
      </c>
      <c r="E17" s="66" t="s">
        <v>604</v>
      </c>
      <c r="F17" s="66" t="s">
        <v>604</v>
      </c>
      <c r="G17" s="66" t="s">
        <v>604</v>
      </c>
      <c r="H17" s="66" t="s">
        <v>604</v>
      </c>
      <c r="I17" s="66" t="s">
        <v>604</v>
      </c>
      <c r="J17" s="66" t="s">
        <v>604</v>
      </c>
      <c r="K17" s="66" t="s">
        <v>604</v>
      </c>
      <c r="L17" s="66" t="s">
        <v>604</v>
      </c>
      <c r="M17" s="66" t="s">
        <v>604</v>
      </c>
      <c r="N17" s="66" t="s">
        <v>604</v>
      </c>
      <c r="O17" s="66" t="s">
        <v>604</v>
      </c>
      <c r="P17" s="66" t="s">
        <v>604</v>
      </c>
      <c r="Q17" s="66" t="s">
        <v>604</v>
      </c>
      <c r="R17" s="66" t="s">
        <v>604</v>
      </c>
      <c r="S17" s="66" t="s">
        <v>604</v>
      </c>
      <c r="T17" s="66" t="s">
        <v>604</v>
      </c>
      <c r="U17" s="66" t="s">
        <v>604</v>
      </c>
      <c r="V17" s="66" t="s">
        <v>604</v>
      </c>
      <c r="W17" s="66" t="s">
        <v>604</v>
      </c>
      <c r="X17" s="66" t="s">
        <v>604</v>
      </c>
      <c r="Y17" s="66" t="s">
        <v>604</v>
      </c>
      <c r="Z17" s="66" t="s">
        <v>604</v>
      </c>
      <c r="AA17" s="66" t="s">
        <v>604</v>
      </c>
      <c r="AB17" s="66" t="s">
        <v>604</v>
      </c>
      <c r="AC17" s="66" t="s">
        <v>604</v>
      </c>
      <c r="AD17" s="66" t="s">
        <v>604</v>
      </c>
      <c r="AE17" s="66" t="s">
        <v>604</v>
      </c>
      <c r="AF17" s="66" t="s">
        <v>604</v>
      </c>
      <c r="AG17" s="66" t="s">
        <v>604</v>
      </c>
      <c r="AH17" s="66" t="s">
        <v>604</v>
      </c>
      <c r="AI17" s="66" t="s">
        <v>604</v>
      </c>
      <c r="AJ17" s="66" t="s">
        <v>604</v>
      </c>
      <c r="AK17" s="66" t="s">
        <v>604</v>
      </c>
      <c r="AL17" s="66" t="s">
        <v>604</v>
      </c>
      <c r="AM17" s="66" t="s">
        <v>604</v>
      </c>
      <c r="AN17" s="66" t="s">
        <v>604</v>
      </c>
      <c r="AO17" s="66" t="s">
        <v>604</v>
      </c>
      <c r="AP17" s="66" t="s">
        <v>604</v>
      </c>
      <c r="AQ17" s="66" t="s">
        <v>604</v>
      </c>
      <c r="AR17" s="66" t="s">
        <v>604</v>
      </c>
      <c r="AS17" s="66" t="s">
        <v>604</v>
      </c>
      <c r="AT17" s="56" t="s">
        <v>450</v>
      </c>
    </row>
    <row r="18" customFormat="false" ht="14.15" hidden="false" customHeight="true" outlineLevel="0" collapsed="false">
      <c r="A18" s="63"/>
      <c r="B18" s="49"/>
      <c r="C18" s="49" t="str">
        <f aca="false">IF(AND(E18&lt;&gt;"",E19=""),"L",IF(AND(E19&lt;&gt;"",E20=""),"BL",IF(AND(E20&lt;&gt;"",E20&lt;&gt;"",E21=""),"BBL"," - ")))</f>
        <v>-</v>
      </c>
      <c r="D18" s="54" t="n">
        <v>44951</v>
      </c>
      <c r="E18" s="66" t="s">
        <v>605</v>
      </c>
      <c r="F18" s="66" t="s">
        <v>605</v>
      </c>
      <c r="G18" s="66" t="s">
        <v>605</v>
      </c>
      <c r="H18" s="66" t="s">
        <v>605</v>
      </c>
      <c r="I18" s="66" t="s">
        <v>605</v>
      </c>
      <c r="J18" s="66" t="s">
        <v>605</v>
      </c>
      <c r="K18" s="66" t="s">
        <v>605</v>
      </c>
      <c r="L18" s="66" t="s">
        <v>605</v>
      </c>
      <c r="M18" s="66" t="s">
        <v>605</v>
      </c>
      <c r="N18" s="66" t="s">
        <v>605</v>
      </c>
      <c r="O18" s="66" t="s">
        <v>605</v>
      </c>
      <c r="P18" s="66" t="s">
        <v>605</v>
      </c>
      <c r="Q18" s="66" t="s">
        <v>605</v>
      </c>
      <c r="R18" s="66" t="s">
        <v>605</v>
      </c>
      <c r="S18" s="66" t="s">
        <v>605</v>
      </c>
      <c r="T18" s="66" t="s">
        <v>605</v>
      </c>
      <c r="U18" s="66" t="s">
        <v>605</v>
      </c>
      <c r="V18" s="66" t="s">
        <v>605</v>
      </c>
      <c r="W18" s="66" t="s">
        <v>605</v>
      </c>
      <c r="X18" s="66" t="s">
        <v>605</v>
      </c>
      <c r="Y18" s="66" t="s">
        <v>605</v>
      </c>
      <c r="Z18" s="66" t="s">
        <v>605</v>
      </c>
      <c r="AA18" s="66" t="s">
        <v>605</v>
      </c>
      <c r="AB18" s="66" t="s">
        <v>605</v>
      </c>
      <c r="AC18" s="66" t="s">
        <v>605</v>
      </c>
      <c r="AD18" s="66" t="s">
        <v>605</v>
      </c>
      <c r="AE18" s="66" t="s">
        <v>605</v>
      </c>
      <c r="AF18" s="66" t="s">
        <v>605</v>
      </c>
      <c r="AG18" s="66" t="s">
        <v>605</v>
      </c>
      <c r="AH18" s="66" t="s">
        <v>605</v>
      </c>
      <c r="AI18" s="66" t="s">
        <v>605</v>
      </c>
      <c r="AJ18" s="66" t="s">
        <v>605</v>
      </c>
      <c r="AK18" s="66" t="s">
        <v>605</v>
      </c>
      <c r="AL18" s="66" t="s">
        <v>605</v>
      </c>
      <c r="AM18" s="66" t="s">
        <v>605</v>
      </c>
      <c r="AN18" s="66" t="s">
        <v>605</v>
      </c>
      <c r="AO18" s="66" t="s">
        <v>605</v>
      </c>
      <c r="AP18" s="66" t="s">
        <v>605</v>
      </c>
      <c r="AQ18" s="66" t="s">
        <v>605</v>
      </c>
      <c r="AR18" s="66" t="s">
        <v>605</v>
      </c>
      <c r="AS18" s="66" t="s">
        <v>605</v>
      </c>
      <c r="AT18" s="56" t="s">
        <v>450</v>
      </c>
    </row>
    <row r="19" customFormat="false" ht="14.15" hidden="false" customHeight="true" outlineLevel="0" collapsed="false">
      <c r="A19" s="63"/>
      <c r="B19" s="49"/>
      <c r="C19" s="49" t="str">
        <f aca="false">IF(AND(E19&lt;&gt;"",E20=""),"L",IF(AND(E20&lt;&gt;"",E21=""),"BL",IF(AND(E21&lt;&gt;"",E21&lt;&gt;"",E22=""),"BBL"," - ")))</f>
        <v>-</v>
      </c>
      <c r="D19" s="54" t="n">
        <v>44952</v>
      </c>
      <c r="E19" s="66" t="s">
        <v>606</v>
      </c>
      <c r="F19" s="66" t="s">
        <v>606</v>
      </c>
      <c r="G19" s="66" t="s">
        <v>606</v>
      </c>
      <c r="H19" s="66" t="s">
        <v>606</v>
      </c>
      <c r="I19" s="66" t="s">
        <v>606</v>
      </c>
      <c r="J19" s="66" t="s">
        <v>606</v>
      </c>
      <c r="K19" s="66" t="s">
        <v>606</v>
      </c>
      <c r="L19" s="66" t="s">
        <v>606</v>
      </c>
      <c r="M19" s="66" t="s">
        <v>606</v>
      </c>
      <c r="N19" s="66" t="s">
        <v>606</v>
      </c>
      <c r="O19" s="66" t="s">
        <v>606</v>
      </c>
      <c r="P19" s="66" t="s">
        <v>606</v>
      </c>
      <c r="Q19" s="66" t="s">
        <v>606</v>
      </c>
      <c r="R19" s="66" t="s">
        <v>606</v>
      </c>
      <c r="S19" s="66" t="s">
        <v>606</v>
      </c>
      <c r="T19" s="66" t="s">
        <v>606</v>
      </c>
      <c r="U19" s="66" t="s">
        <v>606</v>
      </c>
      <c r="V19" s="66" t="s">
        <v>606</v>
      </c>
      <c r="W19" s="66" t="s">
        <v>606</v>
      </c>
      <c r="X19" s="66" t="s">
        <v>606</v>
      </c>
      <c r="Y19" s="66" t="s">
        <v>606</v>
      </c>
      <c r="Z19" s="66" t="s">
        <v>606</v>
      </c>
      <c r="AA19" s="66" t="s">
        <v>606</v>
      </c>
      <c r="AB19" s="66" t="s">
        <v>606</v>
      </c>
      <c r="AC19" s="66" t="s">
        <v>606</v>
      </c>
      <c r="AD19" s="66" t="s">
        <v>606</v>
      </c>
      <c r="AE19" s="66" t="s">
        <v>606</v>
      </c>
      <c r="AF19" s="66" t="s">
        <v>606</v>
      </c>
      <c r="AG19" s="66" t="s">
        <v>606</v>
      </c>
      <c r="AH19" s="66" t="s">
        <v>606</v>
      </c>
      <c r="AI19" s="66" t="s">
        <v>606</v>
      </c>
      <c r="AJ19" s="66" t="s">
        <v>606</v>
      </c>
      <c r="AK19" s="66" t="s">
        <v>606</v>
      </c>
      <c r="AL19" s="66" t="s">
        <v>606</v>
      </c>
      <c r="AM19" s="66" t="s">
        <v>606</v>
      </c>
      <c r="AN19" s="66" t="s">
        <v>606</v>
      </c>
      <c r="AO19" s="66" t="s">
        <v>606</v>
      </c>
      <c r="AP19" s="66" t="s">
        <v>606</v>
      </c>
      <c r="AQ19" s="66" t="s">
        <v>606</v>
      </c>
      <c r="AR19" s="66" t="s">
        <v>606</v>
      </c>
      <c r="AS19" s="66" t="s">
        <v>606</v>
      </c>
      <c r="AT19" s="56" t="s">
        <v>450</v>
      </c>
    </row>
    <row r="20" customFormat="false" ht="12.8" hidden="false" customHeight="false" outlineLevel="0" collapsed="false">
      <c r="B20" s="49"/>
      <c r="C20" s="49" t="str">
        <f aca="false">IF(AND(E20&lt;&gt;"",E21=""),"L",IF(AND(E21&lt;&gt;"",E22=""),"BL",IF(AND(E22&lt;&gt;"",E22&lt;&gt;"",E23=""),"BBL"," - ")))</f>
        <v>-</v>
      </c>
      <c r="D20" s="54" t="n">
        <v>44953</v>
      </c>
      <c r="E20" s="66" t="s">
        <v>607</v>
      </c>
      <c r="F20" s="66" t="s">
        <v>607</v>
      </c>
      <c r="G20" s="66" t="s">
        <v>607</v>
      </c>
      <c r="H20" s="66" t="s">
        <v>607</v>
      </c>
      <c r="I20" s="66" t="s">
        <v>607</v>
      </c>
      <c r="J20" s="66" t="s">
        <v>607</v>
      </c>
      <c r="K20" s="66" t="s">
        <v>607</v>
      </c>
      <c r="L20" s="66" t="s">
        <v>607</v>
      </c>
      <c r="M20" s="66" t="s">
        <v>607</v>
      </c>
      <c r="N20" s="66" t="s">
        <v>607</v>
      </c>
      <c r="O20" s="66" t="s">
        <v>607</v>
      </c>
      <c r="P20" s="66" t="s">
        <v>607</v>
      </c>
      <c r="Q20" s="66" t="s">
        <v>607</v>
      </c>
      <c r="R20" s="66" t="s">
        <v>607</v>
      </c>
      <c r="S20" s="66" t="s">
        <v>607</v>
      </c>
      <c r="T20" s="66" t="s">
        <v>607</v>
      </c>
      <c r="U20" s="66" t="s">
        <v>607</v>
      </c>
      <c r="V20" s="66" t="s">
        <v>607</v>
      </c>
      <c r="W20" s="66" t="s">
        <v>607</v>
      </c>
      <c r="X20" s="66" t="s">
        <v>607</v>
      </c>
      <c r="Y20" s="66" t="s">
        <v>607</v>
      </c>
      <c r="Z20" s="66" t="s">
        <v>607</v>
      </c>
      <c r="AA20" s="66" t="s">
        <v>607</v>
      </c>
      <c r="AB20" s="66" t="s">
        <v>607</v>
      </c>
      <c r="AC20" s="66" t="s">
        <v>607</v>
      </c>
      <c r="AD20" s="66" t="s">
        <v>607</v>
      </c>
      <c r="AE20" s="66" t="s">
        <v>607</v>
      </c>
      <c r="AF20" s="66" t="s">
        <v>607</v>
      </c>
      <c r="AG20" s="66" t="s">
        <v>607</v>
      </c>
      <c r="AH20" s="66" t="s">
        <v>607</v>
      </c>
      <c r="AI20" s="66" t="s">
        <v>607</v>
      </c>
      <c r="AJ20" s="66" t="s">
        <v>607</v>
      </c>
      <c r="AK20" s="66" t="s">
        <v>607</v>
      </c>
      <c r="AL20" s="66" t="s">
        <v>607</v>
      </c>
      <c r="AM20" s="66" t="s">
        <v>607</v>
      </c>
      <c r="AN20" s="66" t="s">
        <v>607</v>
      </c>
      <c r="AO20" s="66" t="s">
        <v>607</v>
      </c>
      <c r="AP20" s="66" t="s">
        <v>607</v>
      </c>
      <c r="AQ20" s="66" t="s">
        <v>607</v>
      </c>
      <c r="AR20" s="66" t="s">
        <v>607</v>
      </c>
      <c r="AS20" s="66" t="s">
        <v>607</v>
      </c>
      <c r="AT20" s="56" t="s">
        <v>450</v>
      </c>
    </row>
    <row r="21" customFormat="false" ht="12.8" hidden="false" customHeight="false" outlineLevel="0" collapsed="false">
      <c r="B21" s="49"/>
      <c r="C21" s="49" t="str">
        <f aca="false">IF(AND(E21&lt;&gt;"",E22=""),"L",IF(AND(E22&lt;&gt;"",E23=""),"BL",IF(AND(E23&lt;&gt;"",E23&lt;&gt;"",E24=""),"BBL"," - ")))</f>
        <v>-</v>
      </c>
      <c r="D21" s="54" t="n">
        <v>44954</v>
      </c>
      <c r="E21" s="66" t="s">
        <v>607</v>
      </c>
      <c r="F21" s="66" t="s">
        <v>607</v>
      </c>
      <c r="G21" s="66" t="s">
        <v>607</v>
      </c>
      <c r="H21" s="66" t="s">
        <v>607</v>
      </c>
      <c r="I21" s="66" t="s">
        <v>607</v>
      </c>
      <c r="J21" s="66" t="s">
        <v>607</v>
      </c>
      <c r="K21" s="66" t="s">
        <v>607</v>
      </c>
      <c r="L21" s="66" t="s">
        <v>607</v>
      </c>
      <c r="M21" s="66" t="s">
        <v>607</v>
      </c>
      <c r="N21" s="66" t="s">
        <v>607</v>
      </c>
      <c r="O21" s="66" t="s">
        <v>607</v>
      </c>
      <c r="P21" s="66" t="s">
        <v>607</v>
      </c>
      <c r="Q21" s="66" t="s">
        <v>607</v>
      </c>
      <c r="R21" s="66" t="s">
        <v>607</v>
      </c>
      <c r="S21" s="66" t="s">
        <v>607</v>
      </c>
      <c r="T21" s="66" t="s">
        <v>607</v>
      </c>
      <c r="U21" s="66" t="s">
        <v>607</v>
      </c>
      <c r="V21" s="66" t="s">
        <v>607</v>
      </c>
      <c r="W21" s="66" t="s">
        <v>607</v>
      </c>
      <c r="X21" s="66" t="s">
        <v>607</v>
      </c>
      <c r="Y21" s="66" t="s">
        <v>607</v>
      </c>
      <c r="Z21" s="66" t="s">
        <v>607</v>
      </c>
      <c r="AA21" s="66" t="s">
        <v>607</v>
      </c>
      <c r="AB21" s="66" t="s">
        <v>607</v>
      </c>
      <c r="AC21" s="66" t="s">
        <v>607</v>
      </c>
      <c r="AD21" s="66" t="s">
        <v>607</v>
      </c>
      <c r="AE21" s="66" t="s">
        <v>607</v>
      </c>
      <c r="AF21" s="66" t="s">
        <v>607</v>
      </c>
      <c r="AG21" s="66" t="s">
        <v>607</v>
      </c>
      <c r="AH21" s="66" t="s">
        <v>607</v>
      </c>
      <c r="AI21" s="66" t="s">
        <v>607</v>
      </c>
      <c r="AJ21" s="66" t="s">
        <v>607</v>
      </c>
      <c r="AK21" s="66" t="s">
        <v>607</v>
      </c>
      <c r="AL21" s="66" t="s">
        <v>607</v>
      </c>
      <c r="AM21" s="66" t="s">
        <v>607</v>
      </c>
      <c r="AN21" s="66" t="s">
        <v>607</v>
      </c>
      <c r="AO21" s="66" t="s">
        <v>607</v>
      </c>
      <c r="AP21" s="66" t="s">
        <v>607</v>
      </c>
      <c r="AQ21" s="66" t="s">
        <v>607</v>
      </c>
      <c r="AR21" s="66" t="s">
        <v>607</v>
      </c>
      <c r="AS21" s="66" t="s">
        <v>607</v>
      </c>
      <c r="AT21" s="56" t="s">
        <v>450</v>
      </c>
    </row>
    <row r="22" customFormat="false" ht="12.8" hidden="false" customHeight="false" outlineLevel="0" collapsed="false">
      <c r="B22" s="49"/>
      <c r="C22" s="49" t="str">
        <f aca="false">IF(AND(E22&lt;&gt;"",E23=""),"L",IF(AND(E23&lt;&gt;"",E24=""),"BL",IF(AND(E24&lt;&gt;"",E24&lt;&gt;"",E25=""),"BBL"," - ")))</f>
        <v>-</v>
      </c>
      <c r="D22" s="54" t="n">
        <v>44955</v>
      </c>
      <c r="E22" s="66" t="s">
        <v>608</v>
      </c>
      <c r="F22" s="66" t="s">
        <v>608</v>
      </c>
      <c r="G22" s="66" t="s">
        <v>608</v>
      </c>
      <c r="H22" s="66" t="s">
        <v>608</v>
      </c>
      <c r="I22" s="66" t="s">
        <v>608</v>
      </c>
      <c r="J22" s="66" t="s">
        <v>608</v>
      </c>
      <c r="K22" s="66" t="s">
        <v>608</v>
      </c>
      <c r="L22" s="66" t="s">
        <v>608</v>
      </c>
      <c r="M22" s="66" t="s">
        <v>608</v>
      </c>
      <c r="N22" s="66" t="s">
        <v>608</v>
      </c>
      <c r="O22" s="66" t="s">
        <v>608</v>
      </c>
      <c r="P22" s="66" t="s">
        <v>608</v>
      </c>
      <c r="Q22" s="66" t="s">
        <v>608</v>
      </c>
      <c r="R22" s="66" t="s">
        <v>608</v>
      </c>
      <c r="S22" s="66" t="s">
        <v>608</v>
      </c>
      <c r="T22" s="66" t="s">
        <v>608</v>
      </c>
      <c r="U22" s="66" t="s">
        <v>608</v>
      </c>
      <c r="V22" s="66" t="s">
        <v>608</v>
      </c>
      <c r="W22" s="66" t="s">
        <v>608</v>
      </c>
      <c r="X22" s="66" t="s">
        <v>608</v>
      </c>
      <c r="Y22" s="66" t="s">
        <v>608</v>
      </c>
      <c r="Z22" s="66" t="s">
        <v>608</v>
      </c>
      <c r="AA22" s="66" t="s">
        <v>608</v>
      </c>
      <c r="AB22" s="66" t="s">
        <v>608</v>
      </c>
      <c r="AC22" s="66" t="s">
        <v>608</v>
      </c>
      <c r="AD22" s="66" t="s">
        <v>608</v>
      </c>
      <c r="AE22" s="66" t="s">
        <v>608</v>
      </c>
      <c r="AF22" s="66" t="s">
        <v>608</v>
      </c>
      <c r="AG22" s="66" t="s">
        <v>608</v>
      </c>
      <c r="AH22" s="66" t="s">
        <v>608</v>
      </c>
      <c r="AI22" s="66" t="s">
        <v>608</v>
      </c>
      <c r="AJ22" s="66" t="s">
        <v>608</v>
      </c>
      <c r="AK22" s="66" t="s">
        <v>608</v>
      </c>
      <c r="AL22" s="66" t="s">
        <v>608</v>
      </c>
      <c r="AM22" s="66" t="s">
        <v>608</v>
      </c>
      <c r="AN22" s="66" t="s">
        <v>608</v>
      </c>
      <c r="AO22" s="66" t="s">
        <v>608</v>
      </c>
      <c r="AP22" s="66" t="s">
        <v>608</v>
      </c>
      <c r="AQ22" s="66" t="s">
        <v>608</v>
      </c>
      <c r="AR22" s="66" t="s">
        <v>608</v>
      </c>
      <c r="AS22" s="66" t="s">
        <v>608</v>
      </c>
      <c r="AT22" s="56" t="s">
        <v>450</v>
      </c>
    </row>
    <row r="23" customFormat="false" ht="12.8" hidden="false" customHeight="false" outlineLevel="0" collapsed="false">
      <c r="B23" s="49"/>
      <c r="C23" s="49" t="str">
        <f aca="false">IF(AND(E23&lt;&gt;"",E24=""),"L",IF(AND(E24&lt;&gt;"",E25=""),"BL",IF(AND(E25&lt;&gt;"",E25&lt;&gt;"",E26=""),"BBL"," - ")))</f>
        <v>BBL</v>
      </c>
      <c r="D23" s="54" t="n">
        <v>44956</v>
      </c>
      <c r="E23" s="66" t="s">
        <v>609</v>
      </c>
      <c r="F23" s="66" t="s">
        <v>609</v>
      </c>
      <c r="G23" s="66" t="s">
        <v>609</v>
      </c>
      <c r="H23" s="66" t="s">
        <v>609</v>
      </c>
      <c r="I23" s="66" t="s">
        <v>609</v>
      </c>
      <c r="J23" s="66" t="s">
        <v>609</v>
      </c>
      <c r="K23" s="66" t="s">
        <v>609</v>
      </c>
      <c r="L23" s="66" t="s">
        <v>609</v>
      </c>
      <c r="M23" s="66" t="s">
        <v>609</v>
      </c>
      <c r="N23" s="66" t="s">
        <v>609</v>
      </c>
      <c r="O23" s="66" t="s">
        <v>609</v>
      </c>
      <c r="P23" s="66" t="s">
        <v>609</v>
      </c>
      <c r="Q23" s="66" t="s">
        <v>609</v>
      </c>
      <c r="R23" s="66" t="s">
        <v>609</v>
      </c>
      <c r="S23" s="66" t="s">
        <v>609</v>
      </c>
      <c r="T23" s="66" t="s">
        <v>609</v>
      </c>
      <c r="U23" s="66" t="s">
        <v>609</v>
      </c>
      <c r="V23" s="66" t="s">
        <v>609</v>
      </c>
      <c r="W23" s="66" t="s">
        <v>609</v>
      </c>
      <c r="X23" s="66" t="s">
        <v>609</v>
      </c>
      <c r="Y23" s="66" t="s">
        <v>609</v>
      </c>
      <c r="Z23" s="66" t="s">
        <v>609</v>
      </c>
      <c r="AA23" s="66" t="s">
        <v>609</v>
      </c>
      <c r="AB23" s="66" t="s">
        <v>609</v>
      </c>
      <c r="AC23" s="66" t="s">
        <v>609</v>
      </c>
      <c r="AD23" s="66" t="s">
        <v>609</v>
      </c>
      <c r="AE23" s="66" t="s">
        <v>609</v>
      </c>
      <c r="AF23" s="66" t="s">
        <v>609</v>
      </c>
      <c r="AG23" s="66" t="s">
        <v>609</v>
      </c>
      <c r="AH23" s="66" t="s">
        <v>609</v>
      </c>
      <c r="AI23" s="66" t="s">
        <v>609</v>
      </c>
      <c r="AJ23" s="66" t="s">
        <v>609</v>
      </c>
      <c r="AK23" s="66" t="s">
        <v>609</v>
      </c>
      <c r="AL23" s="66" t="s">
        <v>609</v>
      </c>
      <c r="AM23" s="66" t="s">
        <v>609</v>
      </c>
      <c r="AN23" s="66" t="s">
        <v>609</v>
      </c>
      <c r="AO23" s="66" t="s">
        <v>609</v>
      </c>
      <c r="AP23" s="66" t="s">
        <v>609</v>
      </c>
      <c r="AQ23" s="66" t="s">
        <v>609</v>
      </c>
      <c r="AR23" s="66" t="s">
        <v>609</v>
      </c>
      <c r="AS23" s="66" t="s">
        <v>609</v>
      </c>
      <c r="AT23" s="56" t="s">
        <v>450</v>
      </c>
    </row>
    <row r="24" customFormat="false" ht="12.8" hidden="false" customHeight="false" outlineLevel="0" collapsed="false">
      <c r="B24" s="49"/>
      <c r="C24" s="49" t="str">
        <f aca="false">IF(AND(E24&lt;&gt;"",E25=""),"L",IF(AND(E25&lt;&gt;"",E26=""),"BL",IF(AND(E26&lt;&gt;"",E26&lt;&gt;"",E27=""),"BBL"," - ")))</f>
        <v>BL</v>
      </c>
      <c r="D24" s="54" t="n">
        <v>44957</v>
      </c>
      <c r="E24" s="66" t="n">
        <v>1</v>
      </c>
      <c r="F24" s="66" t="n">
        <v>2</v>
      </c>
      <c r="G24" s="66" t="n">
        <v>1</v>
      </c>
      <c r="H24" s="66" t="n">
        <v>1</v>
      </c>
      <c r="I24" s="66" t="n">
        <v>1</v>
      </c>
      <c r="J24" s="66" t="n">
        <v>1</v>
      </c>
      <c r="K24" s="66" t="n">
        <v>1</v>
      </c>
      <c r="L24" s="66" t="n">
        <v>1</v>
      </c>
      <c r="M24" s="66" t="n">
        <v>1</v>
      </c>
      <c r="N24" s="66" t="n">
        <v>1</v>
      </c>
      <c r="O24" s="66" t="n">
        <v>1</v>
      </c>
      <c r="P24" s="66" t="n">
        <v>1</v>
      </c>
      <c r="Q24" s="66" t="n">
        <v>1</v>
      </c>
      <c r="R24" s="66" t="n">
        <v>1</v>
      </c>
      <c r="S24" s="66" t="n">
        <v>1</v>
      </c>
      <c r="T24" s="66" t="n">
        <v>1</v>
      </c>
      <c r="U24" s="66" t="n">
        <v>1</v>
      </c>
      <c r="V24" s="66" t="n">
        <v>1</v>
      </c>
      <c r="W24" s="66" t="n">
        <v>1</v>
      </c>
      <c r="X24" s="66" t="n">
        <v>1</v>
      </c>
      <c r="Y24" s="66" t="n">
        <v>1</v>
      </c>
      <c r="Z24" s="66" t="n">
        <v>1</v>
      </c>
      <c r="AA24" s="66" t="n">
        <v>1</v>
      </c>
      <c r="AB24" s="66" t="n">
        <v>1</v>
      </c>
      <c r="AC24" s="66" t="n">
        <v>1</v>
      </c>
      <c r="AD24" s="66" t="n">
        <v>1</v>
      </c>
      <c r="AE24" s="66" t="n">
        <v>1</v>
      </c>
      <c r="AF24" s="66" t="n">
        <v>1</v>
      </c>
      <c r="AG24" s="66" t="n">
        <v>1</v>
      </c>
      <c r="AH24" s="66" t="n">
        <v>1</v>
      </c>
      <c r="AI24" s="66" t="n">
        <v>1</v>
      </c>
      <c r="AJ24" s="66" t="n">
        <v>1</v>
      </c>
      <c r="AK24" s="66" t="n">
        <v>1</v>
      </c>
      <c r="AL24" s="66" t="n">
        <v>1</v>
      </c>
      <c r="AM24" s="66" t="n">
        <v>1</v>
      </c>
      <c r="AN24" s="66" t="n">
        <v>1</v>
      </c>
      <c r="AO24" s="66" t="n">
        <v>1</v>
      </c>
      <c r="AP24" s="66" t="n">
        <v>1</v>
      </c>
      <c r="AQ24" s="66" t="n">
        <v>1</v>
      </c>
      <c r="AR24" s="66" t="n">
        <v>1</v>
      </c>
      <c r="AS24" s="66" t="n">
        <v>1</v>
      </c>
      <c r="AT24" s="56" t="s">
        <v>450</v>
      </c>
    </row>
    <row r="25" customFormat="false" ht="12.8" hidden="false" customHeight="false" outlineLevel="0" collapsed="false">
      <c r="B25" s="49"/>
      <c r="C25" s="49" t="str">
        <f aca="false">IF(AND(E25&lt;&gt;"",E26=""),"L",IF(AND(E26&lt;&gt;"",E27=""),"BL",IF(AND(E27&lt;&gt;"",E27&lt;&gt;"",E28=""),"BBL"," - ")))</f>
        <v>L</v>
      </c>
      <c r="D25" s="54" t="n">
        <v>44958</v>
      </c>
      <c r="E25" s="66" t="n">
        <v>2</v>
      </c>
      <c r="F25" s="66" t="n">
        <v>3</v>
      </c>
      <c r="G25" s="66" t="n">
        <v>2</v>
      </c>
      <c r="H25" s="66" t="n">
        <v>2</v>
      </c>
      <c r="I25" s="66" t="n">
        <v>2</v>
      </c>
      <c r="J25" s="66" t="n">
        <v>2</v>
      </c>
      <c r="K25" s="66" t="n">
        <v>2</v>
      </c>
      <c r="L25" s="66" t="n">
        <v>2</v>
      </c>
      <c r="M25" s="66" t="n">
        <v>2</v>
      </c>
      <c r="N25" s="66" t="n">
        <v>2</v>
      </c>
      <c r="O25" s="66" t="n">
        <v>2</v>
      </c>
      <c r="P25" s="66" t="n">
        <v>2</v>
      </c>
      <c r="Q25" s="66" t="n">
        <v>2</v>
      </c>
      <c r="R25" s="66" t="n">
        <v>2</v>
      </c>
      <c r="S25" s="66" t="n">
        <v>2</v>
      </c>
      <c r="T25" s="66" t="n">
        <v>2</v>
      </c>
      <c r="U25" s="66" t="n">
        <v>2</v>
      </c>
      <c r="V25" s="66" t="n">
        <v>2</v>
      </c>
      <c r="W25" s="66" t="n">
        <v>2</v>
      </c>
      <c r="X25" s="66" t="n">
        <v>2</v>
      </c>
      <c r="Y25" s="66" t="n">
        <v>2</v>
      </c>
      <c r="Z25" s="66" t="n">
        <v>2</v>
      </c>
      <c r="AA25" s="66" t="n">
        <v>2</v>
      </c>
      <c r="AB25" s="66" t="n">
        <v>2</v>
      </c>
      <c r="AC25" s="66" t="n">
        <v>2</v>
      </c>
      <c r="AD25" s="66" t="n">
        <v>2</v>
      </c>
      <c r="AE25" s="66" t="n">
        <v>2</v>
      </c>
      <c r="AF25" s="66" t="n">
        <v>2</v>
      </c>
      <c r="AG25" s="66" t="n">
        <v>2</v>
      </c>
      <c r="AH25" s="66" t="n">
        <v>2</v>
      </c>
      <c r="AI25" s="66" t="n">
        <v>2</v>
      </c>
      <c r="AJ25" s="66" t="n">
        <v>2</v>
      </c>
      <c r="AK25" s="66" t="n">
        <v>2</v>
      </c>
      <c r="AL25" s="66" t="n">
        <v>2</v>
      </c>
      <c r="AM25" s="66" t="n">
        <v>2</v>
      </c>
      <c r="AN25" s="66" t="n">
        <v>2</v>
      </c>
      <c r="AO25" s="66" t="n">
        <v>2</v>
      </c>
      <c r="AP25" s="66" t="n">
        <v>2</v>
      </c>
      <c r="AQ25" s="66" t="n">
        <v>2</v>
      </c>
      <c r="AR25" s="66" t="n">
        <v>2</v>
      </c>
      <c r="AS25" s="66" t="n">
        <v>2</v>
      </c>
      <c r="AT25" s="56" t="s">
        <v>450</v>
      </c>
    </row>
    <row r="26" customFormat="false" ht="12.8" hidden="false" customHeight="false" outlineLevel="0" collapsed="false">
      <c r="B26" s="49"/>
      <c r="C26" s="49" t="str">
        <f aca="false">IF(AND(E26&lt;&gt;"",E27=""),"L",IF(AND(E27&lt;&gt;"",E28=""),"BL",IF(AND(E28&lt;&gt;"",E28&lt;&gt;"",E29=""),"BBL"," - ")))</f>
        <v>-</v>
      </c>
      <c r="D26" s="54"/>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56" t="s">
        <v>450</v>
      </c>
    </row>
    <row r="27" customFormat="false" ht="12.8" hidden="false" customHeight="false" outlineLevel="0" collapsed="false">
      <c r="B27" s="49"/>
      <c r="C27" s="49" t="str">
        <f aca="false">IF(AND(E27&lt;&gt;"",E28=""),"L",IF(AND(E28&lt;&gt;"",E29=""),"BL",IF(AND(E29&lt;&gt;"",E29&lt;&gt;"",E30=""),"BBL"," - ")))</f>
        <v>-</v>
      </c>
      <c r="D27" s="54"/>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56" t="s">
        <v>450</v>
      </c>
    </row>
    <row r="28" customFormat="false" ht="12.8" hidden="false" customHeight="false" outlineLevel="0" collapsed="false">
      <c r="B28" s="49"/>
      <c r="C28" s="49" t="str">
        <f aca="false">IF(AND(E28&lt;&gt;"",E29=""),"L",IF(AND(E29&lt;&gt;"",E30=""),"BL",IF(AND(E30&lt;&gt;"",E30&lt;&gt;"",E31=""),"BBL"," - ")))</f>
        <v>-</v>
      </c>
      <c r="D28" s="54"/>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56" t="s">
        <v>450</v>
      </c>
    </row>
    <row r="29" customFormat="false" ht="12.8" hidden="false" customHeight="false" outlineLevel="0" collapsed="false">
      <c r="B29" s="49"/>
      <c r="C29" s="49" t="str">
        <f aca="false">IF(AND(E29&lt;&gt;"",E30=""),"L",IF(AND(E30&lt;&gt;"",E31=""),"BL",IF(AND(E31&lt;&gt;"",E31&lt;&gt;"",E32=""),"BBL"," - ")))</f>
        <v>-</v>
      </c>
      <c r="D29" s="54"/>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56" t="s">
        <v>450</v>
      </c>
    </row>
    <row r="30" customFormat="false" ht="12.8" hidden="false" customHeight="false" outlineLevel="0" collapsed="false">
      <c r="B30" s="49"/>
      <c r="C30" s="49" t="str">
        <f aca="false">IF(AND(E30&lt;&gt;"",E31=""),"L",IF(AND(E31&lt;&gt;"",E32=""),"BL",IF(AND(E32&lt;&gt;"",E32&lt;&gt;"",E33=""),"BBL"," - ")))</f>
        <v>-</v>
      </c>
      <c r="D30" s="54"/>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56" t="s">
        <v>450</v>
      </c>
    </row>
    <row r="31" customFormat="false" ht="12.8" hidden="false" customHeight="false" outlineLevel="0" collapsed="false">
      <c r="B31" s="49"/>
      <c r="C31" s="49" t="str">
        <f aca="false">IF(AND(E31&lt;&gt;"",E32=""),"L",IF(AND(E32&lt;&gt;"",E33=""),"BL",IF(AND(E33&lt;&gt;"",E33&lt;&gt;"",E34=""),"BBL"," - ")))</f>
        <v>-</v>
      </c>
      <c r="D31" s="54"/>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56" t="s">
        <v>450</v>
      </c>
    </row>
    <row r="32" customFormat="false" ht="12.8" hidden="false" customHeight="false" outlineLevel="0" collapsed="false">
      <c r="B32" s="49"/>
      <c r="C32" s="49" t="str">
        <f aca="false">IF(AND(E32&lt;&gt;"",E33=""),"L",IF(AND(E33&lt;&gt;"",E34=""),"BL",IF(AND(E34&lt;&gt;"",E34&lt;&gt;"",E35=""),"BBL"," - ")))</f>
        <v>-</v>
      </c>
      <c r="D32" s="54"/>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56" t="s">
        <v>450</v>
      </c>
    </row>
    <row r="33" customFormat="false" ht="12.8" hidden="false" customHeight="false" outlineLevel="0" collapsed="false">
      <c r="B33" s="49"/>
      <c r="C33" s="49" t="str">
        <f aca="false">IF(AND(E33&lt;&gt;"",E34=""),"L",IF(AND(E34&lt;&gt;"",E35=""),"BL",IF(AND(E35&lt;&gt;"",E35&lt;&gt;"",E36=""),"BBL"," - ")))</f>
        <v>-</v>
      </c>
      <c r="D33" s="54"/>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56" t="s">
        <v>450</v>
      </c>
    </row>
    <row r="34" customFormat="false" ht="12.8" hidden="false" customHeight="false" outlineLevel="0" collapsed="false">
      <c r="B34" s="49"/>
      <c r="C34" s="49" t="str">
        <f aca="false">IF(AND(E34&lt;&gt;"",E35=""),"L",IF(AND(E35&lt;&gt;"",E36=""),"BL",IF(AND(E36&lt;&gt;"",E36&lt;&gt;"",E37=""),"BBL"," - ")))</f>
        <v>-</v>
      </c>
      <c r="D34" s="54"/>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56" t="s">
        <v>450</v>
      </c>
    </row>
    <row r="35" customFormat="false" ht="12.8" hidden="false" customHeight="false" outlineLevel="0" collapsed="false">
      <c r="B35" s="49"/>
      <c r="C35" s="49" t="str">
        <f aca="false">IF(AND(E35&lt;&gt;"",E36=""),"L",IF(AND(E36&lt;&gt;"",E37=""),"BL",IF(AND(E37&lt;&gt;"",E37&lt;&gt;"",E38=""),"BBL"," - ")))</f>
        <v>-</v>
      </c>
      <c r="D35" s="54"/>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56" t="s">
        <v>450</v>
      </c>
    </row>
    <row r="36" customFormat="false" ht="12.8" hidden="false" customHeight="false" outlineLevel="0" collapsed="false">
      <c r="B36" s="49"/>
      <c r="C36" s="49" t="str">
        <f aca="false">IF(AND(E36&lt;&gt;"",E37=""),"L",IF(AND(E37&lt;&gt;"",E38=""),"BL",IF(AND(E38&lt;&gt;"",E38&lt;&gt;"",E39=""),"BBL"," - ")))</f>
        <v>-</v>
      </c>
      <c r="D36" s="54"/>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56" t="s">
        <v>450</v>
      </c>
    </row>
    <row r="37" customFormat="false" ht="12.8" hidden="false" customHeight="false" outlineLevel="0" collapsed="false">
      <c r="B37" s="49"/>
      <c r="C37" s="49" t="str">
        <f aca="false">IF(AND(E37&lt;&gt;"",E38=""),"L",IF(AND(E38&lt;&gt;"",E39=""),"BL",IF(AND(E39&lt;&gt;"",E39&lt;&gt;"",E40=""),"BBL"," - ")))</f>
        <v>-</v>
      </c>
      <c r="D37" s="54"/>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56" t="s">
        <v>450</v>
      </c>
    </row>
    <row r="38" customFormat="false" ht="12.8" hidden="false" customHeight="false" outlineLevel="0" collapsed="false">
      <c r="B38" s="49"/>
      <c r="C38" s="49" t="str">
        <f aca="false">IF(AND(E38&lt;&gt;"",E39=""),"L",IF(AND(E39&lt;&gt;"",E40=""),"BL",IF(AND(E40&lt;&gt;"",E40&lt;&gt;"",E41=""),"BBL"," - ")))</f>
        <v>-</v>
      </c>
      <c r="D38" s="54"/>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56" t="s">
        <v>450</v>
      </c>
    </row>
    <row r="39" customFormat="false" ht="12.8" hidden="false" customHeight="false" outlineLevel="0" collapsed="false">
      <c r="B39" s="49"/>
      <c r="C39" s="49" t="str">
        <f aca="false">IF(AND(E39&lt;&gt;"",E40=""),"L",IF(AND(E40&lt;&gt;"",E41=""),"BL",IF(AND(E41&lt;&gt;"",E41&lt;&gt;"",E42=""),"BBL"," - ")))</f>
        <v>-</v>
      </c>
      <c r="D39" s="54"/>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56" t="s">
        <v>450</v>
      </c>
    </row>
    <row r="40" customFormat="false" ht="12.8" hidden="false" customHeight="false" outlineLevel="0" collapsed="false">
      <c r="B40" s="49"/>
      <c r="C40" s="49" t="str">
        <f aca="false">IF(AND(E40&lt;&gt;"",E41=""),"L",IF(AND(E41&lt;&gt;"",E42=""),"BL",IF(AND(E42&lt;&gt;"",E42&lt;&gt;"",E43=""),"BBL"," - ")))</f>
        <v>-</v>
      </c>
      <c r="D40" s="54"/>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56" t="s">
        <v>450</v>
      </c>
    </row>
    <row r="41" customFormat="false" ht="12.8" hidden="false" customHeight="false" outlineLevel="0" collapsed="false">
      <c r="B41" s="49"/>
      <c r="C41" s="49" t="str">
        <f aca="false">IF(AND(E41&lt;&gt;"",E42=""),"L",IF(AND(E42&lt;&gt;"",E43=""),"BL",IF(AND(E43&lt;&gt;"",E43&lt;&gt;"",E44=""),"BBL"," - ")))</f>
        <v>-</v>
      </c>
      <c r="D41" s="54"/>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56" t="s">
        <v>450</v>
      </c>
    </row>
    <row r="42" customFormat="false" ht="12.8" hidden="false" customHeight="false" outlineLevel="0" collapsed="false">
      <c r="B42" s="49"/>
      <c r="C42" s="49" t="str">
        <f aca="false">IF(AND(E42&lt;&gt;"",E43=""),"L",IF(AND(E43&lt;&gt;"",E44=""),"BL",IF(AND(E44&lt;&gt;"",E44&lt;&gt;"",E45=""),"BBL"," - ")))</f>
        <v>-</v>
      </c>
      <c r="D42" s="54"/>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56" t="s">
        <v>450</v>
      </c>
    </row>
    <row r="43" customFormat="false" ht="12.8" hidden="false" customHeight="false" outlineLevel="0" collapsed="false">
      <c r="B43" s="49"/>
      <c r="C43" s="49"/>
      <c r="D43" s="54"/>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56" t="s">
        <v>450</v>
      </c>
    </row>
  </sheetData>
  <autoFilter ref="A4:AT43"/>
  <dataValidations count="5">
    <dataValidation allowBlank="true" errorStyle="stop" operator="equal" showDropDown="false" showErrorMessage="true" showInputMessage="false" sqref="R5:R7" type="list">
      <formula1>Static!$I$5:$I$15</formula1>
      <formula2>0</formula2>
    </dataValidation>
    <dataValidation allowBlank="true" errorStyle="stop" operator="equal" showDropDown="false" showErrorMessage="true" showInputMessage="false" sqref="H5:H7" type="list">
      <formula1>#ref!</formula1>
      <formula2>0</formula2>
    </dataValidation>
    <dataValidation allowBlank="true" errorStyle="stop" operator="equal" showDropDown="false" showErrorMessage="true" showInputMessage="false" sqref="L5:L7" type="list">
      <formula1>#ref!</formula1>
      <formula2>0</formula2>
    </dataValidation>
    <dataValidation allowBlank="true" errorStyle="stop" operator="equal" showDropDown="false" showErrorMessage="true" showInputMessage="false" sqref="F5:F7" type="list">
      <formula1>Static!$AI$5:$AI$7</formula1>
      <formula2>0</formula2>
    </dataValidation>
    <dataValidation allowBlank="true" errorStyle="stop" operator="equal" showDropDown="false" showErrorMessage="true" showInputMessage="false" sqref="M5:Q7" type="list">
      <formula1>#ref!</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86"/>
  <sheetViews>
    <sheetView showFormulas="false" showGridLines="false" showRowColHeaders="true" showZeros="true" rightToLeft="false" tabSelected="false" showOutlineSymbols="true" defaultGridColor="true" view="normal" topLeftCell="A7" colorId="64" zoomScale="95" zoomScaleNormal="95" zoomScalePageLayoutView="100" workbookViewId="0">
      <selection pane="topLeft" activeCell="AK22" activeCellId="0" sqref="AK22"/>
    </sheetView>
  </sheetViews>
  <sheetFormatPr defaultColWidth="15.1015625" defaultRowHeight="12.8" zeroHeight="false" outlineLevelRow="1" outlineLevelCol="1"/>
  <cols>
    <col collapsed="false" customWidth="true" hidden="true" outlineLevel="1" max="1" min="1" style="2" width="1.8"/>
    <col collapsed="false" customWidth="true" hidden="true" outlineLevel="1" max="3" min="2" style="31" width="7.68"/>
    <col collapsed="false" customWidth="true" hidden="true" outlineLevel="1" max="4" min="4" style="31" width="10.49"/>
    <col collapsed="false" customWidth="true" hidden="true" outlineLevel="1" max="5" min="5" style="31" width="9.26"/>
    <col collapsed="false" customWidth="true" hidden="true" outlineLevel="1" max="6" min="6" style="31" width="6.21"/>
    <col collapsed="false" customWidth="true" hidden="true" outlineLevel="1" max="7" min="7" style="31" width="7.53"/>
    <col collapsed="false" customWidth="true" hidden="true" outlineLevel="1" max="8" min="8" style="31" width="9.2"/>
    <col collapsed="false" customWidth="true" hidden="true" outlineLevel="1" max="9" min="9" style="31" width="7.81"/>
    <col collapsed="false" customWidth="true" hidden="true" outlineLevel="1" max="14" min="10" style="31" width="6.21"/>
    <col collapsed="false" customWidth="true" hidden="true" outlineLevel="1" max="15" min="15" style="31" width="3.12"/>
    <col collapsed="false" customWidth="true" hidden="true" outlineLevel="1" max="16" min="16" style="31" width="2.92"/>
    <col collapsed="false" customWidth="true" hidden="true" outlineLevel="1" max="17" min="17" style="31" width="2.95"/>
    <col collapsed="false" customWidth="true" hidden="false" outlineLevel="0" max="19" min="18" style="31" width="2.95"/>
    <col collapsed="false" customWidth="true" hidden="false" outlineLevel="0" max="20" min="20" style="31" width="2.92"/>
    <col collapsed="false" customWidth="true" hidden="false" outlineLevel="0" max="21" min="21" style="31" width="2.95"/>
    <col collapsed="false" customWidth="true" hidden="false" outlineLevel="0" max="22" min="22" style="32" width="2.63"/>
    <col collapsed="false" customWidth="true" hidden="false" outlineLevel="0" max="23" min="23" style="31" width="4.73"/>
    <col collapsed="false" customWidth="true" hidden="false" outlineLevel="0" max="24" min="24" style="31" width="10.19"/>
    <col collapsed="false" customWidth="true" hidden="false" outlineLevel="0" max="25" min="25" style="31" width="3.21"/>
    <col collapsed="false" customWidth="true" hidden="false" outlineLevel="0" max="26" min="26" style="31" width="5.14"/>
    <col collapsed="false" customWidth="true" hidden="false" outlineLevel="0" max="27" min="27" style="31" width="12.5"/>
    <col collapsed="false" customWidth="true" hidden="false" outlineLevel="0" max="28" min="28" style="2" width="23.84"/>
    <col collapsed="false" customWidth="true" hidden="false" outlineLevel="0" max="29" min="29" style="31" width="28.38"/>
    <col collapsed="false" customWidth="true" hidden="false" outlineLevel="0" max="31" min="30" style="31" width="10.23"/>
    <col collapsed="false" customWidth="true" hidden="false" outlineLevel="0" max="33" min="32" style="31" width="6.72"/>
    <col collapsed="false" customWidth="true" hidden="false" outlineLevel="0" max="35" min="34" style="31" width="6.54"/>
    <col collapsed="false" customWidth="true" hidden="false" outlineLevel="0" max="36" min="36" style="31" width="5.99"/>
    <col collapsed="false" customWidth="true" hidden="false" outlineLevel="0" max="37" min="37" style="2" width="22.67"/>
    <col collapsed="false" customWidth="true" hidden="false" outlineLevel="0" max="39" min="38" style="31" width="16.38"/>
    <col collapsed="false" customWidth="true" hidden="false" outlineLevel="0" max="40" min="40" style="2" width="14.35"/>
    <col collapsed="false" customWidth="true" hidden="false" outlineLevel="0" max="41" min="41" style="31" width="7.81"/>
    <col collapsed="false" customWidth="true" hidden="false" outlineLevel="0" max="42" min="42" style="2" width="11.81"/>
    <col collapsed="false" customWidth="true" hidden="true" outlineLevel="1" max="44" min="43" style="2" width="14.05"/>
    <col collapsed="false" customWidth="true" hidden="true" outlineLevel="1" max="46" min="45" style="2" width="10.65"/>
    <col collapsed="false" customWidth="true" hidden="false" outlineLevel="0" max="47" min="47" style="0" width="2.54"/>
    <col collapsed="false" customWidth="false" hidden="true" outlineLevel="0" max="1013" min="48" style="0" width="15.08"/>
    <col collapsed="false" customWidth="true" hidden="false" outlineLevel="0" max="1024" min="1014" style="0" width="11.52"/>
  </cols>
  <sheetData>
    <row r="1" s="38" customFormat="true" ht="12.8" hidden="false" customHeight="true" outlineLevel="0" collapsed="false">
      <c r="A1" s="33"/>
      <c r="B1" s="34"/>
      <c r="C1" s="76" t="s">
        <v>610</v>
      </c>
      <c r="D1" s="34"/>
      <c r="E1" s="34"/>
      <c r="F1" s="34"/>
      <c r="G1" s="34"/>
      <c r="H1" s="34"/>
      <c r="I1" s="34"/>
      <c r="J1" s="34"/>
      <c r="K1" s="34"/>
      <c r="L1" s="34"/>
      <c r="M1" s="34"/>
      <c r="N1" s="34"/>
      <c r="O1" s="34"/>
      <c r="P1" s="34"/>
      <c r="Q1" s="34"/>
      <c r="R1" s="34"/>
      <c r="S1" s="34"/>
      <c r="T1" s="34"/>
      <c r="U1" s="34"/>
      <c r="V1" s="35"/>
      <c r="W1" s="34"/>
      <c r="X1" s="34"/>
      <c r="Y1" s="34"/>
      <c r="Z1" s="34"/>
      <c r="AA1" s="36"/>
      <c r="AB1" s="35"/>
      <c r="AC1" s="35"/>
      <c r="AD1" s="34"/>
      <c r="AE1" s="34"/>
      <c r="AF1" s="34"/>
      <c r="AG1" s="34"/>
      <c r="AH1" s="34"/>
      <c r="AI1" s="34"/>
      <c r="AJ1" s="34"/>
      <c r="AK1" s="36"/>
      <c r="AL1" s="35"/>
      <c r="AM1" s="36"/>
      <c r="AN1" s="36"/>
      <c r="AO1" s="34"/>
      <c r="AP1" s="36"/>
      <c r="AQ1" s="36"/>
      <c r="AR1" s="36"/>
      <c r="AS1" s="37"/>
      <c r="AT1" s="37"/>
      <c r="AU1" s="36" t="s">
        <v>450</v>
      </c>
      <c r="ALZ1" s="0"/>
      <c r="AMA1" s="0"/>
      <c r="AMB1" s="0"/>
      <c r="AMC1" s="0"/>
      <c r="AMD1" s="0"/>
      <c r="AME1" s="0"/>
      <c r="AMF1" s="0"/>
      <c r="AMG1" s="0"/>
      <c r="AMH1" s="0"/>
      <c r="AMI1" s="0"/>
      <c r="AMJ1" s="0"/>
    </row>
    <row r="2" s="38" customFormat="true" ht="12.8" hidden="false" customHeight="true" outlineLevel="0" collapsed="false">
      <c r="A2" s="33"/>
      <c r="B2" s="34"/>
      <c r="C2" s="76" t="s">
        <v>611</v>
      </c>
      <c r="D2" s="34"/>
      <c r="E2" s="34"/>
      <c r="F2" s="34"/>
      <c r="G2" s="34"/>
      <c r="H2" s="34"/>
      <c r="I2" s="34"/>
      <c r="J2" s="34"/>
      <c r="K2" s="34"/>
      <c r="L2" s="34"/>
      <c r="M2" s="34"/>
      <c r="N2" s="34"/>
      <c r="O2" s="34"/>
      <c r="P2" s="34"/>
      <c r="Q2" s="34"/>
      <c r="R2" s="34"/>
      <c r="S2" s="34"/>
      <c r="T2" s="34"/>
      <c r="U2" s="34"/>
      <c r="V2" s="35"/>
      <c r="W2" s="34"/>
      <c r="X2" s="34"/>
      <c r="Y2" s="34"/>
      <c r="Z2" s="34"/>
      <c r="AA2" s="36"/>
      <c r="AB2" s="35"/>
      <c r="AC2" s="35"/>
      <c r="AD2" s="34"/>
      <c r="AE2" s="34"/>
      <c r="AF2" s="34"/>
      <c r="AG2" s="34"/>
      <c r="AH2" s="34"/>
      <c r="AI2" s="34"/>
      <c r="AJ2" s="34"/>
      <c r="AK2" s="36"/>
      <c r="AL2" s="35"/>
      <c r="AM2" s="36"/>
      <c r="AN2" s="36"/>
      <c r="AO2" s="34"/>
      <c r="AP2" s="36"/>
      <c r="AQ2" s="36"/>
      <c r="AR2" s="36"/>
      <c r="AS2" s="37"/>
      <c r="AT2" s="37"/>
      <c r="AU2" s="36" t="s">
        <v>450</v>
      </c>
      <c r="ALZ2" s="0"/>
      <c r="AMA2" s="0"/>
      <c r="AMB2" s="0"/>
      <c r="AMC2" s="0"/>
      <c r="AMD2" s="0"/>
      <c r="AME2" s="0"/>
      <c r="AMF2" s="0"/>
      <c r="AMG2" s="0"/>
      <c r="AMH2" s="0"/>
      <c r="AMI2" s="0"/>
      <c r="AMJ2" s="0"/>
    </row>
    <row r="3" s="38" customFormat="true" ht="12.8" hidden="false" customHeight="true" outlineLevel="0" collapsed="false">
      <c r="A3" s="33"/>
      <c r="B3" s="34"/>
      <c r="C3" s="34"/>
      <c r="D3" s="34"/>
      <c r="E3" s="34"/>
      <c r="F3" s="34"/>
      <c r="G3" s="34"/>
      <c r="H3" s="34"/>
      <c r="I3" s="34"/>
      <c r="J3" s="34"/>
      <c r="K3" s="34"/>
      <c r="L3" s="34"/>
      <c r="M3" s="34"/>
      <c r="N3" s="34"/>
      <c r="O3" s="34"/>
      <c r="P3" s="34"/>
      <c r="Q3" s="34"/>
      <c r="R3" s="34"/>
      <c r="S3" s="34"/>
      <c r="T3" s="34"/>
      <c r="U3" s="34"/>
      <c r="V3" s="35"/>
      <c r="W3" s="34"/>
      <c r="X3" s="34"/>
      <c r="Y3" s="34"/>
      <c r="Z3" s="34"/>
      <c r="AA3" s="36"/>
      <c r="AB3" s="35"/>
      <c r="AC3" s="35"/>
      <c r="AD3" s="34"/>
      <c r="AE3" s="34"/>
      <c r="AF3" s="34"/>
      <c r="AG3" s="34"/>
      <c r="AH3" s="34"/>
      <c r="AI3" s="34"/>
      <c r="AJ3" s="34"/>
      <c r="AK3" s="36"/>
      <c r="AL3" s="35"/>
      <c r="AM3" s="36"/>
      <c r="AN3" s="36"/>
      <c r="AO3" s="34"/>
      <c r="AP3" s="36"/>
      <c r="AQ3" s="36"/>
      <c r="AR3" s="36"/>
      <c r="AS3" s="37"/>
      <c r="AT3" s="37"/>
      <c r="AU3" s="36" t="s">
        <v>450</v>
      </c>
      <c r="ALZ3" s="0"/>
      <c r="AMA3" s="0"/>
      <c r="AMB3" s="0"/>
      <c r="AMC3" s="0"/>
      <c r="AMD3" s="0"/>
      <c r="AME3" s="0"/>
      <c r="AMF3" s="0"/>
      <c r="AMG3" s="0"/>
      <c r="AMH3" s="0"/>
      <c r="AMI3" s="0"/>
      <c r="AMJ3" s="0"/>
    </row>
    <row r="4" s="38" customFormat="true" ht="7.85" hidden="false" customHeight="true" outlineLevel="0" collapsed="false">
      <c r="A4" s="77" t="n">
        <f aca="false">A3</f>
        <v>0</v>
      </c>
      <c r="B4" s="46" t="n">
        <f aca="false">B3</f>
        <v>0</v>
      </c>
      <c r="C4" s="46" t="n">
        <f aca="false">C3</f>
        <v>0</v>
      </c>
      <c r="D4" s="46" t="n">
        <f aca="false">D3</f>
        <v>0</v>
      </c>
      <c r="E4" s="46" t="n">
        <f aca="false">E3</f>
        <v>0</v>
      </c>
      <c r="F4" s="46" t="n">
        <f aca="false">F3</f>
        <v>0</v>
      </c>
      <c r="G4" s="46" t="n">
        <f aca="false">G3</f>
        <v>0</v>
      </c>
      <c r="H4" s="46" t="n">
        <f aca="false">H3</f>
        <v>0</v>
      </c>
      <c r="I4" s="46" t="n">
        <f aca="false">I3</f>
        <v>0</v>
      </c>
      <c r="J4" s="46" t="n">
        <f aca="false">J3</f>
        <v>0</v>
      </c>
      <c r="K4" s="46" t="n">
        <f aca="false">K3</f>
        <v>0</v>
      </c>
      <c r="L4" s="46" t="n">
        <f aca="false">L3</f>
        <v>0</v>
      </c>
      <c r="M4" s="46" t="n">
        <f aca="false">M3</f>
        <v>0</v>
      </c>
      <c r="N4" s="46" t="n">
        <f aca="false">N3</f>
        <v>0</v>
      </c>
      <c r="O4" s="46" t="n">
        <f aca="false">O3</f>
        <v>0</v>
      </c>
      <c r="P4" s="46" t="n">
        <f aca="false">P3</f>
        <v>0</v>
      </c>
      <c r="Q4" s="46" t="n">
        <f aca="false">Q3</f>
        <v>0</v>
      </c>
      <c r="R4" s="46" t="n">
        <f aca="false">R3</f>
        <v>0</v>
      </c>
      <c r="S4" s="46" t="n">
        <f aca="false">S3</f>
        <v>0</v>
      </c>
      <c r="T4" s="46" t="n">
        <f aca="false">T3</f>
        <v>0</v>
      </c>
      <c r="U4" s="46" t="n">
        <f aca="false">U3</f>
        <v>0</v>
      </c>
      <c r="V4" s="46" t="n">
        <f aca="false">V3</f>
        <v>0</v>
      </c>
      <c r="W4" s="46" t="n">
        <f aca="false">W3</f>
        <v>0</v>
      </c>
      <c r="X4" s="46" t="n">
        <f aca="false">X3</f>
        <v>0</v>
      </c>
      <c r="Y4" s="46" t="n">
        <f aca="false">Y3</f>
        <v>0</v>
      </c>
      <c r="Z4" s="46" t="n">
        <f aca="false">Z3</f>
        <v>0</v>
      </c>
      <c r="AA4" s="46" t="n">
        <f aca="false">AA3</f>
        <v>0</v>
      </c>
      <c r="AB4" s="46" t="n">
        <f aca="false">AB3</f>
        <v>0</v>
      </c>
      <c r="AC4" s="46" t="n">
        <f aca="false">AC3</f>
        <v>0</v>
      </c>
      <c r="AD4" s="46" t="n">
        <f aca="false">AD3</f>
        <v>0</v>
      </c>
      <c r="AE4" s="46" t="n">
        <f aca="false">AE3</f>
        <v>0</v>
      </c>
      <c r="AF4" s="46" t="n">
        <f aca="false">AF3</f>
        <v>0</v>
      </c>
      <c r="AG4" s="46" t="n">
        <f aca="false">AG3</f>
        <v>0</v>
      </c>
      <c r="AH4" s="46" t="n">
        <f aca="false">AH3</f>
        <v>0</v>
      </c>
      <c r="AI4" s="46" t="n">
        <f aca="false">AI3</f>
        <v>0</v>
      </c>
      <c r="AJ4" s="46" t="n">
        <f aca="false">AJ3</f>
        <v>0</v>
      </c>
      <c r="AK4" s="78"/>
      <c r="AL4" s="46" t="n">
        <f aca="false">AL3</f>
        <v>0</v>
      </c>
      <c r="AM4" s="46" t="n">
        <f aca="false">AM3</f>
        <v>0</v>
      </c>
      <c r="AN4" s="46" t="n">
        <f aca="false">AN3</f>
        <v>0</v>
      </c>
      <c r="AO4" s="46" t="n">
        <f aca="false">AO3</f>
        <v>0</v>
      </c>
      <c r="AP4" s="46" t="n">
        <f aca="false">AP3</f>
        <v>0</v>
      </c>
      <c r="AQ4" s="46" t="n">
        <f aca="false">AQ3</f>
        <v>0</v>
      </c>
      <c r="AR4" s="46" t="n">
        <f aca="false">AR3</f>
        <v>0</v>
      </c>
      <c r="AS4" s="48" t="n">
        <f aca="false">AS3</f>
        <v>0</v>
      </c>
      <c r="AT4" s="48" t="n">
        <f aca="false">AT3</f>
        <v>0</v>
      </c>
      <c r="AU4" s="46" t="str">
        <f aca="false">AU3</f>
        <v>x</v>
      </c>
      <c r="ALZ4" s="0"/>
      <c r="AMA4" s="0"/>
      <c r="AMB4" s="0"/>
      <c r="AMC4" s="0"/>
      <c r="AMD4" s="0"/>
      <c r="AME4" s="0"/>
      <c r="AMF4" s="0"/>
      <c r="AMG4" s="0"/>
      <c r="AMH4" s="0"/>
      <c r="AMI4" s="0"/>
      <c r="AMJ4" s="0"/>
    </row>
    <row r="5" s="38" customFormat="true" ht="12.8" hidden="false" customHeight="true" outlineLevel="0" collapsed="false">
      <c r="A5" s="54"/>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t="s">
        <v>450</v>
      </c>
      <c r="ALZ5" s="0"/>
      <c r="AMA5" s="0"/>
      <c r="AMB5" s="0"/>
      <c r="AMC5" s="0"/>
      <c r="AMD5" s="0"/>
      <c r="AME5" s="0"/>
      <c r="AMF5" s="0"/>
      <c r="AMG5" s="0"/>
      <c r="AMH5" s="0"/>
      <c r="AMI5" s="0"/>
      <c r="AMJ5" s="0"/>
    </row>
    <row r="6" s="38" customFormat="true" ht="12.8" hidden="false" customHeight="true" outlineLevel="0" collapsed="false">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t="s">
        <v>450</v>
      </c>
      <c r="ALZ6" s="0"/>
      <c r="AMA6" s="0"/>
      <c r="AMB6" s="0"/>
      <c r="AMC6" s="0"/>
      <c r="AMD6" s="0"/>
      <c r="AME6" s="0"/>
      <c r="AMF6" s="0"/>
      <c r="AMG6" s="0"/>
      <c r="AMH6" s="0"/>
      <c r="AMI6" s="0"/>
      <c r="AMJ6" s="0"/>
    </row>
    <row r="7" s="38" customFormat="true" ht="12.8" hidden="false" customHeight="true" outlineLevel="0" collapsed="false">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t="s">
        <v>450</v>
      </c>
      <c r="ALZ7" s="0"/>
      <c r="AMA7" s="0"/>
      <c r="AMB7" s="0"/>
      <c r="AMC7" s="0"/>
      <c r="AMD7" s="0"/>
      <c r="AME7" s="0"/>
      <c r="AMF7" s="0"/>
      <c r="AMG7" s="0"/>
      <c r="AMH7" s="0"/>
      <c r="AMI7" s="0"/>
      <c r="AMJ7" s="0"/>
    </row>
    <row r="8" s="38" customFormat="true" ht="12.8" hidden="false" customHeight="true" outlineLevel="0" collapsed="false">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t="s">
        <v>612</v>
      </c>
      <c r="AD8" s="54"/>
      <c r="AE8" s="54"/>
      <c r="AF8" s="54"/>
      <c r="AG8" s="54"/>
      <c r="AH8" s="54"/>
      <c r="AI8" s="54"/>
      <c r="AJ8" s="54"/>
      <c r="AK8" s="54"/>
      <c r="AL8" s="54"/>
      <c r="AM8" s="54"/>
      <c r="AN8" s="54"/>
      <c r="AO8" s="54"/>
      <c r="AP8" s="54"/>
      <c r="AQ8" s="54"/>
      <c r="AR8" s="54"/>
      <c r="AS8" s="54"/>
      <c r="AT8" s="54"/>
      <c r="AU8" s="54" t="s">
        <v>450</v>
      </c>
      <c r="ALZ8" s="0"/>
      <c r="AMA8" s="0"/>
      <c r="AMB8" s="0"/>
      <c r="AMC8" s="0"/>
      <c r="AMD8" s="0"/>
      <c r="AME8" s="0"/>
      <c r="AMF8" s="0"/>
      <c r="AMG8" s="0"/>
      <c r="AMH8" s="0"/>
      <c r="AMI8" s="0"/>
      <c r="AMJ8" s="0"/>
    </row>
    <row r="9" s="38" customFormat="true" ht="12.8" hidden="false" customHeight="true" outlineLevel="0" collapsed="false">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t="s">
        <v>611</v>
      </c>
      <c r="AD9" s="54"/>
      <c r="AE9" s="54"/>
      <c r="AF9" s="54"/>
      <c r="AG9" s="54"/>
      <c r="AH9" s="54"/>
      <c r="AI9" s="54"/>
      <c r="AJ9" s="54"/>
      <c r="AK9" s="54"/>
      <c r="AL9" s="54"/>
      <c r="AM9" s="54"/>
      <c r="AN9" s="54"/>
      <c r="AO9" s="54"/>
      <c r="AP9" s="54"/>
      <c r="AQ9" s="54"/>
      <c r="AR9" s="54"/>
      <c r="AS9" s="54"/>
      <c r="AT9" s="54"/>
      <c r="AU9" s="54" t="s">
        <v>450</v>
      </c>
      <c r="ALZ9" s="0"/>
      <c r="AMA9" s="0"/>
      <c r="AMB9" s="0"/>
      <c r="AMC9" s="0"/>
      <c r="AMD9" s="0"/>
      <c r="AME9" s="0"/>
      <c r="AMF9" s="0"/>
      <c r="AMG9" s="0"/>
      <c r="AMH9" s="0"/>
      <c r="AMI9" s="0"/>
      <c r="AMJ9" s="0"/>
    </row>
    <row r="10" s="38" customFormat="true" ht="12.8" hidden="false" customHeight="true" outlineLevel="0" collapsed="false">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t="s">
        <v>613</v>
      </c>
      <c r="AD10" s="54"/>
      <c r="AE10" s="54"/>
      <c r="AF10" s="54"/>
      <c r="AG10" s="54"/>
      <c r="AH10" s="54"/>
      <c r="AI10" s="54"/>
      <c r="AJ10" s="54"/>
      <c r="AK10" s="54"/>
      <c r="AL10" s="54"/>
      <c r="AM10" s="54"/>
      <c r="AN10" s="54"/>
      <c r="AO10" s="54"/>
      <c r="AP10" s="54"/>
      <c r="AQ10" s="54"/>
      <c r="AR10" s="54"/>
      <c r="AS10" s="54"/>
      <c r="AT10" s="54"/>
      <c r="AU10" s="54" t="s">
        <v>450</v>
      </c>
      <c r="ALZ10" s="0"/>
      <c r="AMA10" s="0"/>
      <c r="AMB10" s="0"/>
      <c r="AMC10" s="0"/>
      <c r="AMD10" s="0"/>
      <c r="AME10" s="0"/>
      <c r="AMF10" s="0"/>
      <c r="AMG10" s="0"/>
      <c r="AMH10" s="0"/>
      <c r="AMI10" s="0"/>
      <c r="AMJ10" s="0"/>
    </row>
    <row r="11" s="38" customFormat="true" ht="12.8" hidden="false" customHeight="true" outlineLevel="0" collapsed="false">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t="s">
        <v>450</v>
      </c>
      <c r="ALZ11" s="0"/>
      <c r="AMA11" s="0"/>
      <c r="AMB11" s="0"/>
      <c r="AMC11" s="0"/>
      <c r="AMD11" s="0"/>
      <c r="AME11" s="0"/>
      <c r="AMF11" s="0"/>
      <c r="AMG11" s="0"/>
      <c r="AMH11" s="0"/>
      <c r="AMI11" s="0"/>
      <c r="AMJ11" s="0"/>
    </row>
    <row r="12" s="38" customFormat="true" ht="12.8" hidden="false" customHeight="true" outlineLevel="0" collapsed="false">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t="s">
        <v>450</v>
      </c>
      <c r="ALZ12" s="0"/>
      <c r="AMA12" s="0"/>
      <c r="AMB12" s="0"/>
      <c r="AMC12" s="0"/>
      <c r="AMD12" s="0"/>
      <c r="AME12" s="0"/>
      <c r="AMF12" s="0"/>
      <c r="AMG12" s="0"/>
      <c r="AMH12" s="0"/>
      <c r="AMI12" s="0"/>
      <c r="AMJ12" s="0"/>
    </row>
    <row r="13" s="38" customFormat="true" ht="12.8" hidden="false" customHeight="true" outlineLevel="0" collapsed="false">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t="s">
        <v>450</v>
      </c>
      <c r="ALZ13" s="0"/>
      <c r="AMA13" s="0"/>
      <c r="AMB13" s="0"/>
      <c r="AMC13" s="0"/>
      <c r="AMD13" s="0"/>
      <c r="AME13" s="0"/>
      <c r="AMF13" s="0"/>
      <c r="AMG13" s="0"/>
      <c r="AMH13" s="0"/>
      <c r="AMI13" s="0"/>
      <c r="AMJ13" s="0"/>
    </row>
    <row r="14" s="38" customFormat="true" ht="120.95" hidden="true" customHeight="true" outlineLevel="1" collapsed="false">
      <c r="A14" s="33" t="n">
        <f aca="true">TODAY()</f>
        <v>45334</v>
      </c>
      <c r="B14" s="34" t="s">
        <v>349</v>
      </c>
      <c r="C14" s="34" t="s">
        <v>350</v>
      </c>
      <c r="D14" s="34" t="s">
        <v>351</v>
      </c>
      <c r="E14" s="34" t="s">
        <v>352</v>
      </c>
      <c r="F14" s="34" t="s">
        <v>353</v>
      </c>
      <c r="G14" s="34" t="s">
        <v>353</v>
      </c>
      <c r="H14" s="34" t="s">
        <v>353</v>
      </c>
      <c r="I14" s="34" t="s">
        <v>353</v>
      </c>
      <c r="J14" s="34" t="s">
        <v>353</v>
      </c>
      <c r="K14" s="34" t="s">
        <v>354</v>
      </c>
      <c r="L14" s="34" t="s">
        <v>355</v>
      </c>
      <c r="M14" s="34" t="s">
        <v>356</v>
      </c>
      <c r="N14" s="34" t="s">
        <v>357</v>
      </c>
      <c r="O14" s="34" t="s">
        <v>358</v>
      </c>
      <c r="P14" s="34" t="s">
        <v>360</v>
      </c>
      <c r="Q14" s="34" t="s">
        <v>363</v>
      </c>
      <c r="R14" s="34" t="s">
        <v>364</v>
      </c>
      <c r="S14" s="34" t="s">
        <v>365</v>
      </c>
      <c r="T14" s="34" t="s">
        <v>367</v>
      </c>
      <c r="U14" s="34" t="s">
        <v>368</v>
      </c>
      <c r="V14" s="35" t="s">
        <v>369</v>
      </c>
      <c r="W14" s="34" t="s">
        <v>370</v>
      </c>
      <c r="X14" s="34" t="s">
        <v>371</v>
      </c>
      <c r="Y14" s="34" t="s">
        <v>372</v>
      </c>
      <c r="Z14" s="34" t="s">
        <v>614</v>
      </c>
      <c r="AA14" s="36" t="s">
        <v>615</v>
      </c>
      <c r="AB14" s="35" t="s">
        <v>375</v>
      </c>
      <c r="AC14" s="35" t="s">
        <v>376</v>
      </c>
      <c r="AD14" s="34" t="s">
        <v>616</v>
      </c>
      <c r="AE14" s="34" t="s">
        <v>617</v>
      </c>
      <c r="AF14" s="34" t="s">
        <v>618</v>
      </c>
      <c r="AG14" s="34" t="s">
        <v>619</v>
      </c>
      <c r="AH14" s="34" t="s">
        <v>620</v>
      </c>
      <c r="AI14" s="34" t="s">
        <v>621</v>
      </c>
      <c r="AJ14" s="34" t="s">
        <v>622</v>
      </c>
      <c r="AK14" s="36" t="s">
        <v>623</v>
      </c>
      <c r="AL14" s="35" t="s">
        <v>624</v>
      </c>
      <c r="AM14" s="36" t="s">
        <v>385</v>
      </c>
      <c r="AN14" s="36" t="s">
        <v>625</v>
      </c>
      <c r="AO14" s="34" t="s">
        <v>387</v>
      </c>
      <c r="AP14" s="36" t="s">
        <v>388</v>
      </c>
      <c r="AQ14" s="36" t="s">
        <v>389</v>
      </c>
      <c r="AR14" s="36" t="s">
        <v>390</v>
      </c>
      <c r="AS14" s="37" t="s">
        <v>391</v>
      </c>
      <c r="AT14" s="37" t="s">
        <v>392</v>
      </c>
      <c r="AU14" s="36" t="s">
        <v>393</v>
      </c>
      <c r="ALZ14" s="0"/>
      <c r="AMA14" s="0"/>
      <c r="AMB14" s="0"/>
      <c r="AMC14" s="0"/>
      <c r="AMD14" s="0"/>
      <c r="AME14" s="0"/>
      <c r="AMF14" s="0"/>
      <c r="AMG14" s="0"/>
      <c r="AMH14" s="0"/>
      <c r="AMI14" s="0"/>
      <c r="AMJ14" s="0"/>
    </row>
    <row r="15" s="38" customFormat="true" ht="14.15" hidden="true" customHeight="true" outlineLevel="1" collapsed="false">
      <c r="A15" s="36"/>
      <c r="B15" s="34"/>
      <c r="C15" s="34"/>
      <c r="D15" s="34" t="n">
        <v>1</v>
      </c>
      <c r="E15" s="34"/>
      <c r="F15" s="34"/>
      <c r="G15" s="34"/>
      <c r="H15" s="34"/>
      <c r="I15" s="34"/>
      <c r="J15" s="34"/>
      <c r="K15" s="34"/>
      <c r="L15" s="34"/>
      <c r="M15" s="34"/>
      <c r="N15" s="34"/>
      <c r="O15" s="34"/>
      <c r="P15" s="34"/>
      <c r="Q15" s="34"/>
      <c r="R15" s="34"/>
      <c r="S15" s="34"/>
      <c r="T15" s="34"/>
      <c r="U15" s="34"/>
      <c r="V15" s="35"/>
      <c r="W15" s="34"/>
      <c r="X15" s="34"/>
      <c r="Y15" s="34"/>
      <c r="Z15" s="34"/>
      <c r="AA15" s="34"/>
      <c r="AB15" s="35"/>
      <c r="AC15" s="35"/>
      <c r="AD15" s="34"/>
      <c r="AE15" s="34"/>
      <c r="AF15" s="34"/>
      <c r="AG15" s="34"/>
      <c r="AH15" s="34"/>
      <c r="AI15" s="34"/>
      <c r="AJ15" s="34"/>
      <c r="AK15" s="36"/>
      <c r="AL15" s="35"/>
      <c r="AM15" s="35"/>
      <c r="AN15" s="36"/>
      <c r="AO15" s="34"/>
      <c r="AP15" s="36"/>
      <c r="AQ15" s="36"/>
      <c r="AR15" s="36"/>
      <c r="AS15" s="37"/>
      <c r="AT15" s="37"/>
      <c r="AU15" s="36"/>
      <c r="ALZ15" s="0"/>
      <c r="AMA15" s="0"/>
      <c r="AMB15" s="0"/>
      <c r="AMC15" s="0"/>
      <c r="AMD15" s="0"/>
      <c r="AME15" s="0"/>
      <c r="AMF15" s="0"/>
      <c r="AMG15" s="0"/>
      <c r="AMH15" s="0"/>
      <c r="AMI15" s="0"/>
      <c r="AMJ15" s="0"/>
    </row>
    <row r="16" customFormat="false" ht="74.6" hidden="false" customHeight="true" outlineLevel="0" collapsed="false">
      <c r="A16" s="39" t="s">
        <v>394</v>
      </c>
      <c r="B16" s="40" t="s">
        <v>395</v>
      </c>
      <c r="C16" s="40" t="s">
        <v>396</v>
      </c>
      <c r="D16" s="41" t="s">
        <v>397</v>
      </c>
      <c r="E16" s="41" t="s">
        <v>398</v>
      </c>
      <c r="F16" s="41" t="s">
        <v>399</v>
      </c>
      <c r="G16" s="41" t="s">
        <v>400</v>
      </c>
      <c r="H16" s="41" t="s">
        <v>401</v>
      </c>
      <c r="I16" s="41" t="s">
        <v>402</v>
      </c>
      <c r="J16" s="41" t="s">
        <v>403</v>
      </c>
      <c r="K16" s="41" t="s">
        <v>404</v>
      </c>
      <c r="L16" s="41" t="s">
        <v>405</v>
      </c>
      <c r="M16" s="41" t="s">
        <v>406</v>
      </c>
      <c r="N16" s="41" t="s">
        <v>407</v>
      </c>
      <c r="O16" s="40" t="s">
        <v>408</v>
      </c>
      <c r="P16" s="40" t="s">
        <v>410</v>
      </c>
      <c r="Q16" s="40" t="s">
        <v>413</v>
      </c>
      <c r="R16" s="40" t="s">
        <v>414</v>
      </c>
      <c r="S16" s="40" t="s">
        <v>415</v>
      </c>
      <c r="T16" s="40" t="s">
        <v>417</v>
      </c>
      <c r="U16" s="40" t="s">
        <v>418</v>
      </c>
      <c r="V16" s="42" t="s">
        <v>333</v>
      </c>
      <c r="W16" s="41" t="s">
        <v>419</v>
      </c>
      <c r="X16" s="41" t="s">
        <v>420</v>
      </c>
      <c r="Y16" s="40" t="s">
        <v>626</v>
      </c>
      <c r="Z16" s="41" t="s">
        <v>422</v>
      </c>
      <c r="AA16" s="41" t="s">
        <v>627</v>
      </c>
      <c r="AB16" s="43" t="s">
        <v>424</v>
      </c>
      <c r="AC16" s="43" t="s">
        <v>425</v>
      </c>
      <c r="AD16" s="41" t="s">
        <v>628</v>
      </c>
      <c r="AE16" s="41" t="s">
        <v>629</v>
      </c>
      <c r="AF16" s="41" t="s">
        <v>630</v>
      </c>
      <c r="AG16" s="41" t="s">
        <v>631</v>
      </c>
      <c r="AH16" s="41" t="s">
        <v>429</v>
      </c>
      <c r="AI16" s="41" t="s">
        <v>430</v>
      </c>
      <c r="AJ16" s="41" t="s">
        <v>431</v>
      </c>
      <c r="AK16" s="39" t="s">
        <v>432</v>
      </c>
      <c r="AL16" s="43" t="s">
        <v>433</v>
      </c>
      <c r="AM16" s="43" t="s">
        <v>434</v>
      </c>
      <c r="AN16" s="39" t="s">
        <v>435</v>
      </c>
      <c r="AO16" s="41" t="s">
        <v>436</v>
      </c>
      <c r="AP16" s="41" t="s">
        <v>437</v>
      </c>
      <c r="AQ16" s="39" t="s">
        <v>438</v>
      </c>
      <c r="AR16" s="39" t="s">
        <v>439</v>
      </c>
      <c r="AS16" s="44" t="s">
        <v>440</v>
      </c>
      <c r="AT16" s="44" t="s">
        <v>441</v>
      </c>
      <c r="AU16" s="43" t="s">
        <v>442</v>
      </c>
    </row>
    <row r="17" customFormat="false" ht="8.75" hidden="false" customHeight="true" outlineLevel="0" collapsed="false">
      <c r="A17" s="45" t="str">
        <f aca="false">A16</f>
        <v>A</v>
      </c>
      <c r="B17" s="46" t="str">
        <f aca="false">B16</f>
        <v>Performer</v>
      </c>
      <c r="C17" s="46" t="str">
        <f aca="false">C16</f>
        <v>Beneficiary</v>
      </c>
      <c r="D17" s="46" t="str">
        <f aca="false">D16</f>
        <v>Last Date</v>
      </c>
      <c r="E17" s="46" t="str">
        <f aca="false">E16</f>
        <v>Duration</v>
      </c>
      <c r="F17" s="46" t="str">
        <f aca="false">F16</f>
        <v>Tasks Open</v>
      </c>
      <c r="G17" s="46" t="str">
        <f aca="false">G16</f>
        <v>Tasks Started</v>
      </c>
      <c r="H17" s="46" t="str">
        <f aca="false">H16</f>
        <v>Tasks Pending</v>
      </c>
      <c r="I17" s="46" t="str">
        <f aca="false">I16</f>
        <v>Tasks Urgent</v>
      </c>
      <c r="J17" s="46" t="str">
        <f aca="false">J16</f>
        <v>Tasks Done</v>
      </c>
      <c r="K17" s="46" t="str">
        <f aca="false">K16</f>
        <v>Tasks Total</v>
      </c>
      <c r="L17" s="46" t="str">
        <f aca="false">L16</f>
        <v>Last Date Year</v>
      </c>
      <c r="M17" s="46" t="str">
        <f aca="false">M16</f>
        <v>Last Date Month</v>
      </c>
      <c r="N17" s="46" t="str">
        <f aca="false">N16</f>
        <v>Last Date Week</v>
      </c>
      <c r="O17" s="46"/>
      <c r="P17" s="46"/>
      <c r="Q17" s="46" t="str">
        <f aca="false">Q16</f>
        <v>Last wk?</v>
      </c>
      <c r="R17" s="46" t="str">
        <f aca="false">R16</f>
        <v>Active ?</v>
      </c>
      <c r="S17" s="46" t="str">
        <f aca="false">S16</f>
        <v>Done  ?</v>
      </c>
      <c r="T17" s="46" t="str">
        <f aca="false">T16</f>
        <v>Rep ?</v>
      </c>
      <c r="U17" s="46" t="str">
        <f aca="false">U16</f>
        <v>Show ?</v>
      </c>
      <c r="V17" s="47" t="str">
        <f aca="false">V16</f>
        <v>Sort</v>
      </c>
      <c r="W17" s="46" t="str">
        <f aca="false">W16</f>
        <v>Day</v>
      </c>
      <c r="X17" s="46" t="str">
        <f aca="false">X16</f>
        <v>Calc 
Start 
Date</v>
      </c>
      <c r="Y17" s="46" t="str">
        <f aca="false">Y16</f>
        <v>Force Rep?</v>
      </c>
      <c r="Z17" s="46"/>
      <c r="AA17" s="46" t="str">
        <f aca="false">AA16</f>
        <v>Planning Type</v>
      </c>
      <c r="AB17" s="47" t="str">
        <f aca="false">AB16</f>
        <v>Name</v>
      </c>
      <c r="AC17" s="47" t="str">
        <f aca="false">AC16</f>
        <v>Overview</v>
      </c>
      <c r="AD17" s="46" t="str">
        <f aca="false">AD16</f>
        <v>Period (label)</v>
      </c>
      <c r="AE17" s="46" t="str">
        <f aca="false">AE16</f>
        <v>Period (count)</v>
      </c>
      <c r="AF17" s="46" t="str">
        <f aca="false">AF16</f>
        <v>Effort / count (hr)</v>
      </c>
      <c r="AG17" s="46" t="str">
        <f aca="false">AG16</f>
        <v>Effort / yr (days)</v>
      </c>
      <c r="AH17" s="46" t="str">
        <f aca="false">AH16</f>
        <v>Whom by</v>
      </c>
      <c r="AI17" s="46" t="str">
        <f aca="false">AI16</f>
        <v>Whom for</v>
      </c>
      <c r="AJ17" s="46" t="str">
        <f aca="false">AJ16</f>
        <v>Goal</v>
      </c>
      <c r="AK17" s="45" t="str">
        <f aca="false">AK16</f>
        <v>Sub-Goal</v>
      </c>
      <c r="AL17" s="47" t="str">
        <f aca="false">AL16</f>
        <v>Reference</v>
      </c>
      <c r="AM17" s="47" t="str">
        <f aca="false">AM16</f>
        <v>Notes</v>
      </c>
      <c r="AN17" s="45" t="str">
        <f aca="false">AN16</f>
        <v>Tasks</v>
      </c>
      <c r="AO17" s="46" t="str">
        <f aca="false">AO16</f>
        <v>Tasks Left</v>
      </c>
      <c r="AP17" s="45" t="str">
        <f aca="false">AP16</f>
        <v>Task Progress</v>
      </c>
      <c r="AQ17" s="45" t="str">
        <f aca="false">AQ16</f>
        <v>First Note</v>
      </c>
      <c r="AR17" s="45" t="str">
        <f aca="false">AR16</f>
        <v>Last Note</v>
      </c>
      <c r="AS17" s="48" t="str">
        <f aca="false">AS16</f>
        <v>First Note Date</v>
      </c>
      <c r="AT17" s="48" t="str">
        <f aca="false">AT16</f>
        <v>Last Note Date</v>
      </c>
      <c r="AU17" s="47" t="str">
        <f aca="false">AU16</f>
        <v>Z</v>
      </c>
    </row>
    <row r="18" customFormat="false" ht="12.75" hidden="false" customHeight="true" outlineLevel="0" collapsed="false">
      <c r="A18" s="63"/>
      <c r="B18" s="49" t="str">
        <f aca="false">IF(AH18="","tbc",AH18)</f>
        <v>STE</v>
      </c>
      <c r="C18" s="49" t="str">
        <f aca="false">IF(AI18="","VNT",AI18)</f>
        <v>VNT</v>
      </c>
      <c r="D18" s="49" t="n">
        <f aca="false">MAX(X18,IF(AT18="none",X18,AT18))</f>
        <v>44564</v>
      </c>
      <c r="E18" s="50" t="n">
        <f aca="false">IFERROR(DAYS360(X18,D18),0)</f>
        <v>0</v>
      </c>
      <c r="F18" s="50" t="n">
        <f aca="false">((LEN($AN18)-LEN(SUBSTITUTE($AN18,CHAR(10)&amp;". ","")))/3)+IF(LEFT(TRIM($AN18),2)=". ",1,0)</f>
        <v>0</v>
      </c>
      <c r="G18" s="50" t="n">
        <f aca="false">((LEN($AN18)-LEN(SUBSTITUTE($AN18,CHAR(10)&amp;"/ ","")))/3)+IF(LEFT(TRIM($AN18),2)="/ ",1,0)</f>
        <v>0</v>
      </c>
      <c r="H18" s="50" t="n">
        <f aca="false">((LEN($AN18)-LEN(SUBSTITUTE($AN18,CHAR(10)&amp;"~ ","")))/3)+IF(LEFT(TRIM($AN18),2)="~ ",1,0)</f>
        <v>0</v>
      </c>
      <c r="I18" s="50" t="n">
        <f aca="false">((LEN($AN18)-LEN(SUBSTITUTE($AN18,CHAR(10)&amp;"! ","")))/3)+IF(LEFT(TRIM($AN18),2)="! ",1,0)</f>
        <v>0</v>
      </c>
      <c r="J18" s="50" t="n">
        <f aca="false">((LEN($AN18)-LEN(SUBSTITUTE($AN18,CHAR(10)&amp;"x ","")))/3)+IF(LEFT(TRIM($AN18),2)="x ",1,0)</f>
        <v>0</v>
      </c>
      <c r="K18" s="50" t="n">
        <f aca="false">SUM(F18:J18)</f>
        <v>0</v>
      </c>
      <c r="L18" s="51" t="n">
        <f aca="false">YEAR(D18)</f>
        <v>2022</v>
      </c>
      <c r="M18" s="51" t="str">
        <f aca="false">VLOOKUP(MONTH(D18),Static!$AJ$3:$AK$16,2,0)</f>
        <v>Jan</v>
      </c>
      <c r="N18" s="51" t="n">
        <f aca="false">WEEKNUM(D18,1)</f>
        <v>2</v>
      </c>
      <c r="O18" s="51" t="str">
        <f aca="false">IFERROR(INDEX(Static!$I$5:$L$15,MATCH(AA18,Static!$I$5:$I$15,0),3),"Z")</f>
        <v>B</v>
      </c>
      <c r="P18" s="51" t="str">
        <f aca="false">IFERROR(INDEX(Static!$I$5:$L$15,MATCH(AA18,Static!$I$5:$I$15,0),4),"Y")</f>
        <v>Y</v>
      </c>
      <c r="Q18" s="51" t="str">
        <f aca="false">IF(D18&gt;(($A$14-WEEKDAY($A$14,2))-7*$D$15),"Y","N")</f>
        <v>N</v>
      </c>
      <c r="R18" s="49" t="str">
        <f aca="false">IF(AB18&lt;&gt;"","Y","N")</f>
        <v>Y</v>
      </c>
      <c r="S18" s="51" t="str">
        <f aca="false">IF(AND(Q18="Y",R18="N"),"Y","N")</f>
        <v>N</v>
      </c>
      <c r="T18" s="49" t="str">
        <f aca="false">IF(OR(Y18="Y",Y18="N"),Y18,IF(AND(P18="Y", OR(Q18="Y",S18="Y")),"Y","N"))</f>
        <v>N</v>
      </c>
      <c r="U18" s="51" t="str">
        <f aca="false">"Y"</f>
        <v>Y</v>
      </c>
      <c r="V18" s="53" t="str">
        <f aca="false">" -  "&amp;O18&amp;AJ18&amp;AK18&amp;AB18</f>
        <v>-  BmgtleadingDo mandatory training</v>
      </c>
      <c r="W18" s="51" t="str">
        <f aca="false">IFERROR(VLOOKUP(WEEKDAY(X18),Static!$AL$3:$AM$11,2,0),"")</f>
        <v>Mon</v>
      </c>
      <c r="X18" s="49" t="n">
        <f aca="false">IF(AD18&lt;&gt;"",AS18,0)</f>
        <v>44564</v>
      </c>
      <c r="Y18" s="54"/>
      <c r="Z18" s="54"/>
      <c r="AA18" s="79" t="s">
        <v>632</v>
      </c>
      <c r="AB18" s="56" t="s">
        <v>633</v>
      </c>
      <c r="AC18" s="58" t="s">
        <v>634</v>
      </c>
      <c r="AD18" s="54" t="s">
        <v>635</v>
      </c>
      <c r="AE18" s="80" t="n">
        <v>15</v>
      </c>
      <c r="AF18" s="57" t="n">
        <v>0.5</v>
      </c>
      <c r="AG18" s="81" t="n">
        <f aca="false">IF(AB18="","",AE18*AF18/8)</f>
        <v>0.9375</v>
      </c>
      <c r="AH18" s="54" t="s">
        <v>446</v>
      </c>
      <c r="AI18" s="54" t="s">
        <v>343</v>
      </c>
      <c r="AJ18" s="54" t="s">
        <v>447</v>
      </c>
      <c r="AK18" s="82" t="s">
        <v>636</v>
      </c>
      <c r="AL18" s="58" t="s">
        <v>448</v>
      </c>
      <c r="AM18" s="56" t="s">
        <v>449</v>
      </c>
      <c r="AN18" s="56"/>
      <c r="AO18" s="51" t="n">
        <f aca="false">SUM(F18:I18)</f>
        <v>0</v>
      </c>
      <c r="AP18" s="59" t="n">
        <f aca="false">IF(AB18="",1,IF(K18&lt;&gt;0,(G18*0.5+J18)/K18,1))</f>
        <v>1</v>
      </c>
      <c r="AQ18" s="60" t="str">
        <f aca="false">IF(AM18="","",IF(ISERROR(FIND(CHAR(10),AM18,1)),AM18,LEFT(AM18,FIND(CHAR(10),AM18,1))))</f>
        <v>03-01-22: init</v>
      </c>
      <c r="AR18" s="61" t="str">
        <f aca="false">IF(AM18="","",IFERROR(RIGHT(AM18,LEN(AM18)-FIND("@@@",SUBSTITUTE(AM18,CHAR(10),"@@@",LEN(AM18)-LEN(SUBSTITUTE(AM18,CHAR(10),""))),1)),AM18))</f>
        <v>03-01-22: init</v>
      </c>
      <c r="AS18" s="62" t="n">
        <f aca="false">IFERROR(DATE(("20"&amp;MID(AQ18,7,2))*1,MID(AQ18,4,2)*1,MID(AQ18,1,2)*1),"")</f>
        <v>44564</v>
      </c>
      <c r="AT18" s="62" t="n">
        <f aca="false">IFERROR(DATE(("20"&amp;MID(AR18,7,2))*1,MID(AR18,4,2)*1,MID(AR18,1,2)*1),"")</f>
        <v>44564</v>
      </c>
      <c r="AU18" s="56" t="s">
        <v>450</v>
      </c>
    </row>
    <row r="19" customFormat="false" ht="12.75" hidden="false" customHeight="true" outlineLevel="0" collapsed="false">
      <c r="A19" s="63"/>
      <c r="B19" s="49" t="str">
        <f aca="false">IF(AH19="","tbc",AH19)</f>
        <v>STE</v>
      </c>
      <c r="C19" s="49" t="str">
        <f aca="false">IF(AI19="","VNT",AI19)</f>
        <v>VNT</v>
      </c>
      <c r="D19" s="49" t="n">
        <f aca="false">MAX(X19,IF(AT19="none",X19,AT19))</f>
        <v>44564</v>
      </c>
      <c r="E19" s="50" t="n">
        <f aca="false">IFERROR(DAYS360(X19,D19),0)</f>
        <v>0</v>
      </c>
      <c r="F19" s="50" t="n">
        <f aca="false">((LEN($AN19)-LEN(SUBSTITUTE($AN19,CHAR(10)&amp;". ","")))/3)+IF(LEFT(TRIM($AN19),2)=". ",1,0)</f>
        <v>1</v>
      </c>
      <c r="G19" s="50" t="n">
        <f aca="false">((LEN($AN19)-LEN(SUBSTITUTE($AN19,CHAR(10)&amp;"/ ","")))/3)+IF(LEFT(TRIM($AN19),2)="/ ",1,0)</f>
        <v>1</v>
      </c>
      <c r="H19" s="50" t="n">
        <f aca="false">((LEN($AN19)-LEN(SUBSTITUTE($AN19,CHAR(10)&amp;"~ ","")))/3)+IF(LEFT(TRIM($AN19),2)="~ ",1,0)</f>
        <v>1</v>
      </c>
      <c r="I19" s="50" t="n">
        <f aca="false">((LEN($AN19)-LEN(SUBSTITUTE($AN19,CHAR(10)&amp;"! ","")))/3)+IF(LEFT(TRIM($AN19),2)="! ",1,0)</f>
        <v>1</v>
      </c>
      <c r="J19" s="50" t="n">
        <f aca="false">((LEN($AN19)-LEN(SUBSTITUTE($AN19,CHAR(10)&amp;"x ","")))/3)+IF(LEFT(TRIM($AN19),2)="x ",1,0)</f>
        <v>1</v>
      </c>
      <c r="K19" s="50" t="n">
        <f aca="false">SUM(F19:J19)</f>
        <v>5</v>
      </c>
      <c r="L19" s="51" t="n">
        <f aca="false">YEAR(D19)</f>
        <v>2022</v>
      </c>
      <c r="M19" s="51" t="str">
        <f aca="false">VLOOKUP(MONTH(D19),Static!$AJ$3:$AK$16,2,0)</f>
        <v>Jan</v>
      </c>
      <c r="N19" s="51" t="n">
        <f aca="false">WEEKNUM(D19,1)</f>
        <v>2</v>
      </c>
      <c r="O19" s="51" t="str">
        <f aca="false">IFERROR(INDEX(Static!$I$5:$L$15,MATCH(AA19,Static!$I$5:$I$15,0),3),"Z")</f>
        <v>B</v>
      </c>
      <c r="P19" s="51" t="str">
        <f aca="false">IFERROR(INDEX(Static!$I$5:$L$15,MATCH(AA19,Static!$I$5:$I$15,0),4),"Y")</f>
        <v>Y</v>
      </c>
      <c r="Q19" s="51" t="str">
        <f aca="false">IF(D19&gt;(($A$14-WEEKDAY($A$14,2))-7*$D$15),"Y","N")</f>
        <v>N</v>
      </c>
      <c r="R19" s="49" t="str">
        <f aca="false">IF(AB19&lt;&gt;"","Y","N")</f>
        <v>Y</v>
      </c>
      <c r="S19" s="51" t="str">
        <f aca="false">IF(AND(Q19="Y",R19="N"),"Y","N")</f>
        <v>N</v>
      </c>
      <c r="T19" s="49" t="str">
        <f aca="false">IF(OR(Y19="Y",Y19="N"),Y19,IF(AND(P19="Y", OR(Q19="Y",S19="Y")),"Y","N"))</f>
        <v>N</v>
      </c>
      <c r="U19" s="51" t="str">
        <f aca="false">"Y"</f>
        <v>Y</v>
      </c>
      <c r="V19" s="53" t="str">
        <f aca="false">" -  "&amp;O19&amp;AJ19&amp;AK19&amp;AB19</f>
        <v>-  BmgtleadingAttend meetings</v>
      </c>
      <c r="W19" s="51" t="str">
        <f aca="false">IFERROR(VLOOKUP(WEEKDAY(X19),Static!$AL$3:$AM$11,2,0),"")</f>
        <v>Mon</v>
      </c>
      <c r="X19" s="49" t="n">
        <f aca="false">IF(AD19&lt;&gt;"",AS19,0)</f>
        <v>44564</v>
      </c>
      <c r="Y19" s="54"/>
      <c r="Z19" s="54"/>
      <c r="AA19" s="79" t="s">
        <v>632</v>
      </c>
      <c r="AB19" s="56" t="s">
        <v>637</v>
      </c>
      <c r="AC19" s="58" t="s">
        <v>638</v>
      </c>
      <c r="AD19" s="54" t="s">
        <v>639</v>
      </c>
      <c r="AE19" s="80" t="n">
        <v>52</v>
      </c>
      <c r="AF19" s="57" t="n">
        <v>2</v>
      </c>
      <c r="AG19" s="81" t="n">
        <f aca="false">IF(AB19="","",AE19*AF19/8)</f>
        <v>13</v>
      </c>
      <c r="AH19" s="54" t="s">
        <v>446</v>
      </c>
      <c r="AI19" s="54" t="s">
        <v>343</v>
      </c>
      <c r="AJ19" s="54" t="s">
        <v>447</v>
      </c>
      <c r="AK19" s="82" t="s">
        <v>636</v>
      </c>
      <c r="AL19" s="58" t="s">
        <v>448</v>
      </c>
      <c r="AM19" s="56" t="s">
        <v>449</v>
      </c>
      <c r="AN19" s="58" t="s">
        <v>640</v>
      </c>
      <c r="AO19" s="51" t="n">
        <f aca="false">SUM(F19:I19)</f>
        <v>4</v>
      </c>
      <c r="AP19" s="59" t="n">
        <f aca="false">IF(AB19="",1,IF(K19&lt;&gt;0,(G19*0.5+J19)/K19,1))</f>
        <v>0.3</v>
      </c>
      <c r="AQ19" s="60" t="str">
        <f aca="false">IF(AM19="","",IF(ISERROR(FIND(CHAR(10),AM19,1)),AM19,LEFT(AM19,FIND(CHAR(10),AM19,1))))</f>
        <v>03-01-22: init</v>
      </c>
      <c r="AR19" s="61" t="str">
        <f aca="false">IF(AM19="","",IFERROR(RIGHT(AM19,LEN(AM19)-FIND("@@@",SUBSTITUTE(AM19,CHAR(10),"@@@",LEN(AM19)-LEN(SUBSTITUTE(AM19,CHAR(10),""))),1)),AM19))</f>
        <v>03-01-22: init</v>
      </c>
      <c r="AS19" s="62" t="n">
        <f aca="false">IFERROR(DATE(("20"&amp;MID(AQ19,7,2))*1,MID(AQ19,4,2)*1,MID(AQ19,1,2)*1),"")</f>
        <v>44564</v>
      </c>
      <c r="AT19" s="62" t="n">
        <f aca="false">IFERROR(DATE(("20"&amp;MID(AR19,7,2))*1,MID(AR19,4,2)*1,MID(AR19,1,2)*1),"")</f>
        <v>44564</v>
      </c>
      <c r="AU19" s="56" t="s">
        <v>450</v>
      </c>
    </row>
    <row r="20" customFormat="false" ht="12.75" hidden="false" customHeight="true" outlineLevel="0" collapsed="false">
      <c r="A20" s="63"/>
      <c r="B20" s="49" t="str">
        <f aca="false">IF(AH20="","tbc",AH20)</f>
        <v>STE</v>
      </c>
      <c r="C20" s="49" t="str">
        <f aca="false">IF(AI20="","VNT",AI20)</f>
        <v>VNT</v>
      </c>
      <c r="D20" s="49" t="n">
        <f aca="false">MAX(X20,IF(AT20="none",X20,AT20))</f>
        <v>44564</v>
      </c>
      <c r="E20" s="50" t="n">
        <f aca="false">IFERROR(DAYS360(X20,D20),0)</f>
        <v>0</v>
      </c>
      <c r="F20" s="50" t="n">
        <f aca="false">((LEN($AN20)-LEN(SUBSTITUTE($AN20,CHAR(10)&amp;". ","")))/3)+IF(LEFT(TRIM($AN20),2)=". ",1,0)</f>
        <v>0</v>
      </c>
      <c r="G20" s="50" t="n">
        <f aca="false">((LEN($AN20)-LEN(SUBSTITUTE($AN20,CHAR(10)&amp;"/ ","")))/3)+IF(LEFT(TRIM($AN20),2)="/ ",1,0)</f>
        <v>0</v>
      </c>
      <c r="H20" s="50" t="n">
        <f aca="false">((LEN($AN20)-LEN(SUBSTITUTE($AN20,CHAR(10)&amp;"~ ","")))/3)+IF(LEFT(TRIM($AN20),2)="~ ",1,0)</f>
        <v>0</v>
      </c>
      <c r="I20" s="50" t="n">
        <f aca="false">((LEN($AN20)-LEN(SUBSTITUTE($AN20,CHAR(10)&amp;"! ","")))/3)+IF(LEFT(TRIM($AN20),2)="! ",1,0)</f>
        <v>0</v>
      </c>
      <c r="J20" s="50" t="n">
        <f aca="false">((LEN($AN20)-LEN(SUBSTITUTE($AN20,CHAR(10)&amp;"x ","")))/3)+IF(LEFT(TRIM($AN20),2)="x ",1,0)</f>
        <v>0</v>
      </c>
      <c r="K20" s="50" t="n">
        <f aca="false">SUM(F20:J20)</f>
        <v>0</v>
      </c>
      <c r="L20" s="51" t="n">
        <f aca="false">YEAR(D20)</f>
        <v>2022</v>
      </c>
      <c r="M20" s="51" t="str">
        <f aca="false">VLOOKUP(MONTH(D20),Static!$AJ$3:$AK$16,2,0)</f>
        <v>Jan</v>
      </c>
      <c r="N20" s="51" t="n">
        <f aca="false">WEEKNUM(D20,1)</f>
        <v>2</v>
      </c>
      <c r="O20" s="51" t="str">
        <f aca="false">IFERROR(INDEX(Static!$I$5:$L$15,MATCH(AA20,Static!$I$5:$I$15,0),3),"Z")</f>
        <v>B</v>
      </c>
      <c r="P20" s="51" t="str">
        <f aca="false">IFERROR(INDEX(Static!$I$5:$L$15,MATCH(AA20,Static!$I$5:$I$15,0),4),"Y")</f>
        <v>Y</v>
      </c>
      <c r="Q20" s="51" t="str">
        <f aca="false">IF(D20&gt;(($A$14-WEEKDAY($A$14,2))-7*$D$15),"Y","N")</f>
        <v>N</v>
      </c>
      <c r="R20" s="49" t="str">
        <f aca="false">IF(AB20&lt;&gt;"","Y","N")</f>
        <v>Y</v>
      </c>
      <c r="S20" s="51" t="str">
        <f aca="false">IF(AND(Q20="Y",R20="N"),"Y","N")</f>
        <v>N</v>
      </c>
      <c r="T20" s="49" t="str">
        <f aca="false">IF(OR(Y20="Y",Y20="N"),Y20,IF(AND(P20="Y", OR(Q20="Y",S20="Y")),"Y","N"))</f>
        <v>N</v>
      </c>
      <c r="U20" s="51" t="str">
        <f aca="false">"Y"</f>
        <v>Y</v>
      </c>
      <c r="V20" s="53" t="str">
        <f aca="false">" -  "&amp;O20&amp;AJ20&amp;AK20&amp;AB20</f>
        <v>-  BmgtleadingRead emails</v>
      </c>
      <c r="W20" s="51" t="str">
        <f aca="false">IFERROR(VLOOKUP(WEEKDAY(X20),Static!$AL$3:$AM$11,2,0),"")</f>
        <v>Mon</v>
      </c>
      <c r="X20" s="49" t="n">
        <f aca="false">IF(AD20&lt;&gt;"",AS20,0)</f>
        <v>44564</v>
      </c>
      <c r="Y20" s="54"/>
      <c r="Z20" s="54"/>
      <c r="AA20" s="79" t="s">
        <v>632</v>
      </c>
      <c r="AB20" s="56" t="s">
        <v>641</v>
      </c>
      <c r="AC20" s="58" t="s">
        <v>642</v>
      </c>
      <c r="AD20" s="54" t="s">
        <v>643</v>
      </c>
      <c r="AE20" s="80" t="n">
        <v>220</v>
      </c>
      <c r="AF20" s="57" t="n">
        <v>0.5</v>
      </c>
      <c r="AG20" s="81" t="n">
        <f aca="false">IF(AB20="","",AE20*AF20/8)</f>
        <v>13.75</v>
      </c>
      <c r="AH20" s="54" t="s">
        <v>446</v>
      </c>
      <c r="AI20" s="54" t="s">
        <v>343</v>
      </c>
      <c r="AJ20" s="54" t="s">
        <v>447</v>
      </c>
      <c r="AK20" s="82" t="s">
        <v>636</v>
      </c>
      <c r="AL20" s="58" t="s">
        <v>448</v>
      </c>
      <c r="AM20" s="56" t="s">
        <v>449</v>
      </c>
      <c r="AN20" s="58"/>
      <c r="AO20" s="51" t="n">
        <f aca="false">SUM(F20:I20)</f>
        <v>0</v>
      </c>
      <c r="AP20" s="59" t="n">
        <f aca="false">IF(AB20="",1,IF(K20&lt;&gt;0,(G20*0.5+J20)/K20,1))</f>
        <v>1</v>
      </c>
      <c r="AQ20" s="60" t="str">
        <f aca="false">IF(AM20="","",IF(ISERROR(FIND(CHAR(10),AM20,1)),AM20,LEFT(AM20,FIND(CHAR(10),AM20,1))))</f>
        <v>03-01-22: init</v>
      </c>
      <c r="AR20" s="61" t="str">
        <f aca="false">IF(AM20="","",IFERROR(RIGHT(AM20,LEN(AM20)-FIND("@@@",SUBSTITUTE(AM20,CHAR(10),"@@@",LEN(AM20)-LEN(SUBSTITUTE(AM20,CHAR(10),""))),1)),AM20))</f>
        <v>03-01-22: init</v>
      </c>
      <c r="AS20" s="62" t="n">
        <f aca="false">IFERROR(DATE(("20"&amp;MID(AQ20,7,2))*1,MID(AQ20,4,2)*1,MID(AQ20,1,2)*1),"")</f>
        <v>44564</v>
      </c>
      <c r="AT20" s="62" t="n">
        <f aca="false">IFERROR(DATE(("20"&amp;MID(AR20,7,2))*1,MID(AR20,4,2)*1,MID(AR20,1,2)*1),"")</f>
        <v>44564</v>
      </c>
      <c r="AU20" s="56" t="s">
        <v>450</v>
      </c>
    </row>
    <row r="21" customFormat="false" ht="12.75" hidden="false" customHeight="true" outlineLevel="0" collapsed="false">
      <c r="B21" s="49" t="str">
        <f aca="false">IF(AH21="","tbc",AH21)</f>
        <v>STE</v>
      </c>
      <c r="C21" s="49" t="str">
        <f aca="false">IF(AI21="","VNT",AI21)</f>
        <v>VNT</v>
      </c>
      <c r="D21" s="49" t="n">
        <f aca="false">MAX(X21,IF(AT21="none",X21,AT21))</f>
        <v>44564</v>
      </c>
      <c r="E21" s="50" t="n">
        <f aca="false">IFERROR(DAYS360(X21,D21),0)</f>
        <v>0</v>
      </c>
      <c r="F21" s="50" t="n">
        <f aca="false">((LEN($AN21)-LEN(SUBSTITUTE($AN21,CHAR(10)&amp;". ","")))/3)+IF(LEFT(TRIM($AN21),2)=". ",1,0)</f>
        <v>0</v>
      </c>
      <c r="G21" s="50" t="n">
        <f aca="false">((LEN($AN21)-LEN(SUBSTITUTE($AN21,CHAR(10)&amp;"/ ","")))/3)+IF(LEFT(TRIM($AN21),2)="/ ",1,0)</f>
        <v>0</v>
      </c>
      <c r="H21" s="50" t="n">
        <f aca="false">((LEN($AN21)-LEN(SUBSTITUTE($AN21,CHAR(10)&amp;"~ ","")))/3)+IF(LEFT(TRIM($AN21),2)="~ ",1,0)</f>
        <v>0</v>
      </c>
      <c r="I21" s="50" t="n">
        <f aca="false">((LEN($AN21)-LEN(SUBSTITUTE($AN21,CHAR(10)&amp;"! ","")))/3)+IF(LEFT(TRIM($AN21),2)="! ",1,0)</f>
        <v>0</v>
      </c>
      <c r="J21" s="50" t="n">
        <f aca="false">((LEN($AN21)-LEN(SUBSTITUTE($AN21,CHAR(10)&amp;"x ","")))/3)+IF(LEFT(TRIM($AN21),2)="x ",1,0)</f>
        <v>0</v>
      </c>
      <c r="K21" s="50" t="n">
        <f aca="false">SUM(F21:J21)</f>
        <v>0</v>
      </c>
      <c r="L21" s="51" t="n">
        <f aca="false">YEAR(D21)</f>
        <v>2022</v>
      </c>
      <c r="M21" s="51" t="str">
        <f aca="false">VLOOKUP(MONTH(D21),Static!$AJ$3:$AK$16,2,0)</f>
        <v>Jan</v>
      </c>
      <c r="N21" s="51" t="n">
        <f aca="false">WEEKNUM(D21,1)</f>
        <v>2</v>
      </c>
      <c r="O21" s="51" t="str">
        <f aca="false">IFERROR(INDEX(Static!$I$5:$L$15,MATCH(AA21,Static!$I$5:$I$15,0),3),"Z")</f>
        <v>B</v>
      </c>
      <c r="P21" s="51" t="str">
        <f aca="false">IFERROR(INDEX(Static!$I$5:$L$15,MATCH(AA21,Static!$I$5:$I$15,0),4),"Y")</f>
        <v>Y</v>
      </c>
      <c r="Q21" s="51" t="str">
        <f aca="false">IF(D21&gt;(($A$14-WEEKDAY($A$14,2))-7*$D$15),"Y","N")</f>
        <v>N</v>
      </c>
      <c r="R21" s="49" t="str">
        <f aca="false">IF(AB21&lt;&gt;"","Y","N")</f>
        <v>Y</v>
      </c>
      <c r="S21" s="51" t="str">
        <f aca="false">IF(AND(Q21="Y",R21="N"),"Y","N")</f>
        <v>N</v>
      </c>
      <c r="T21" s="49" t="str">
        <f aca="false">IF(OR(Y21="Y",Y21="N"),Y21,IF(AND(P21="Y", OR(Q21="Y",S21="Y")),"Y","N"))</f>
        <v>N</v>
      </c>
      <c r="U21" s="51" t="str">
        <f aca="false">"Y"</f>
        <v>Y</v>
      </c>
      <c r="V21" s="53" t="str">
        <f aca="false">" -  "&amp;O21&amp;AJ21&amp;AK21&amp;AB21</f>
        <v>-  BmgtleadingSort emails</v>
      </c>
      <c r="W21" s="51" t="str">
        <f aca="false">IFERROR(VLOOKUP(WEEKDAY(X21),Static!$AL$3:$AM$11,2,0),"")</f>
        <v>Mon</v>
      </c>
      <c r="X21" s="49" t="n">
        <f aca="false">IF(AD21&lt;&gt;"",AS21,0)</f>
        <v>44564</v>
      </c>
      <c r="Y21" s="54"/>
      <c r="Z21" s="54"/>
      <c r="AA21" s="79" t="s">
        <v>632</v>
      </c>
      <c r="AB21" s="56" t="s">
        <v>644</v>
      </c>
      <c r="AC21" s="56" t="s">
        <v>645</v>
      </c>
      <c r="AD21" s="54" t="s">
        <v>643</v>
      </c>
      <c r="AE21" s="80" t="n">
        <v>220</v>
      </c>
      <c r="AF21" s="57" t="n">
        <v>0.25</v>
      </c>
      <c r="AG21" s="81" t="n">
        <f aca="false">IF(AB21="","",AE21*AF21/8)</f>
        <v>6.875</v>
      </c>
      <c r="AH21" s="54" t="s">
        <v>446</v>
      </c>
      <c r="AI21" s="54" t="s">
        <v>343</v>
      </c>
      <c r="AJ21" s="54" t="s">
        <v>447</v>
      </c>
      <c r="AK21" s="82" t="s">
        <v>636</v>
      </c>
      <c r="AL21" s="58" t="s">
        <v>646</v>
      </c>
      <c r="AM21" s="56" t="s">
        <v>449</v>
      </c>
      <c r="AN21" s="56"/>
      <c r="AO21" s="51" t="n">
        <f aca="false">SUM(F21:I21)</f>
        <v>0</v>
      </c>
      <c r="AP21" s="59" t="n">
        <f aca="false">IF(AB21="",1,IF(K21&lt;&gt;0,(G21*0.5+J21)/K21,1))</f>
        <v>1</v>
      </c>
      <c r="AQ21" s="60" t="str">
        <f aca="false">IF(AM21="","",IF(ISERROR(FIND(CHAR(10),AM21,1)),AM21,LEFT(AM21,FIND(CHAR(10),AM21,1))))</f>
        <v>03-01-22: init</v>
      </c>
      <c r="AR21" s="61" t="str">
        <f aca="false">IF(AM21="","",IFERROR(RIGHT(AM21,LEN(AM21)-FIND("@@@",SUBSTITUTE(AM21,CHAR(10),"@@@",LEN(AM21)-LEN(SUBSTITUTE(AM21,CHAR(10),""))),1)),AM21))</f>
        <v>03-01-22: init</v>
      </c>
      <c r="AS21" s="62" t="n">
        <f aca="false">IFERROR(DATE(("20"&amp;MID(AQ21,7,2))*1,MID(AQ21,4,2)*1,MID(AQ21,1,2)*1),"")</f>
        <v>44564</v>
      </c>
      <c r="AT21" s="62" t="n">
        <f aca="false">IFERROR(DATE(("20"&amp;MID(AR21,7,2))*1,MID(AR21,4,2)*1,MID(AR21,1,2)*1),"")</f>
        <v>44564</v>
      </c>
      <c r="AU21" s="56" t="s">
        <v>450</v>
      </c>
    </row>
    <row r="22" customFormat="false" ht="12.75" hidden="false" customHeight="true" outlineLevel="0" collapsed="false">
      <c r="B22" s="49" t="str">
        <f aca="false">IF(AH22="","tbc",AH22)</f>
        <v>tbc</v>
      </c>
      <c r="C22" s="49" t="str">
        <f aca="false">IF(AI22="","VNT",AI22)</f>
        <v>VNT</v>
      </c>
      <c r="D22" s="49" t="n">
        <f aca="false">MAX(X22,IF(AT22="none",X22,AT22))</f>
        <v>0</v>
      </c>
      <c r="E22" s="50" t="n">
        <f aca="false">IFERROR(DAYS360(X22,D22),0)</f>
        <v>0</v>
      </c>
      <c r="F22" s="50" t="n">
        <f aca="false">((LEN($AN22)-LEN(SUBSTITUTE($AN22,CHAR(10)&amp;". ","")))/3)+IF(LEFT(TRIM($AN22),2)=". ",1,0)</f>
        <v>0</v>
      </c>
      <c r="G22" s="50" t="n">
        <f aca="false">((LEN($AN22)-LEN(SUBSTITUTE($AN22,CHAR(10)&amp;"/ ","")))/3)+IF(LEFT(TRIM($AN22),2)="/ ",1,0)</f>
        <v>0</v>
      </c>
      <c r="H22" s="50" t="n">
        <f aca="false">((LEN($AN22)-LEN(SUBSTITUTE($AN22,CHAR(10)&amp;"~ ","")))/3)+IF(LEFT(TRIM($AN22),2)="~ ",1,0)</f>
        <v>0</v>
      </c>
      <c r="I22" s="50" t="n">
        <f aca="false">((LEN($AN22)-LEN(SUBSTITUTE($AN22,CHAR(10)&amp;"! ","")))/3)+IF(LEFT(TRIM($AN22),2)="! ",1,0)</f>
        <v>0</v>
      </c>
      <c r="J22" s="50" t="n">
        <f aca="false">((LEN($AN22)-LEN(SUBSTITUTE($AN22,CHAR(10)&amp;"x ","")))/3)+IF(LEFT(TRIM($AN22),2)="x ",1,0)</f>
        <v>0</v>
      </c>
      <c r="K22" s="50" t="n">
        <f aca="false">SUM(F22:J22)</f>
        <v>0</v>
      </c>
      <c r="L22" s="51" t="n">
        <f aca="false">YEAR(D22)</f>
        <v>1899</v>
      </c>
      <c r="M22" s="51" t="str">
        <f aca="false">VLOOKUP(MONTH(D22),Static!$AJ$3:$AK$16,2,0)</f>
        <v>Dec</v>
      </c>
      <c r="N22" s="51" t="n">
        <f aca="false">WEEKNUM(D22,1)</f>
        <v>52</v>
      </c>
      <c r="O22" s="51" t="str">
        <f aca="false">IFERROR(INDEX(Static!$I$5:$L$15,MATCH(AA22,Static!$I$5:$I$15,0),3),"Z")</f>
        <v>Z</v>
      </c>
      <c r="P22" s="51" t="str">
        <f aca="false">IFERROR(INDEX(Static!$I$5:$L$15,MATCH(AA22,Static!$I$5:$I$15,0),4),"Y")</f>
        <v>Y</v>
      </c>
      <c r="Q22" s="51" t="str">
        <f aca="false">IF(D22&gt;(($A$14-WEEKDAY($A$14,2))-7*$D$15),"Y","N")</f>
        <v>N</v>
      </c>
      <c r="R22" s="49" t="str">
        <f aca="false">IF(AB22&lt;&gt;"","Y","N")</f>
        <v>N</v>
      </c>
      <c r="S22" s="51" t="str">
        <f aca="false">IF(AND(Q22="Y",R22="N"),"Y","N")</f>
        <v>N</v>
      </c>
      <c r="T22" s="49" t="str">
        <f aca="false">IF(OR(Y22="Y",Y22="N"),Y22,IF(AND(P22="Y", OR(Q22="Y",S22="Y")),"Y","N"))</f>
        <v>N</v>
      </c>
      <c r="U22" s="51" t="str">
        <f aca="false">"Y"</f>
        <v>Y</v>
      </c>
      <c r="V22" s="53" t="str">
        <f aca="false">" -  "&amp;O22&amp;AJ22&amp;AK22&amp;AB22</f>
        <v>-  Zprdresearch &amp; development</v>
      </c>
      <c r="W22" s="51" t="str">
        <f aca="false">IFERROR(VLOOKUP(WEEKDAY(X22),Static!$AL$3:$AM$11,2,0),"")</f>
        <v>Sat</v>
      </c>
      <c r="X22" s="49" t="n">
        <f aca="false">IF(AD22&lt;&gt;"",AS22,0)</f>
        <v>0</v>
      </c>
      <c r="Y22" s="54"/>
      <c r="Z22" s="54"/>
      <c r="AA22" s="79"/>
      <c r="AB22" s="56"/>
      <c r="AC22" s="56"/>
      <c r="AD22" s="54"/>
      <c r="AE22" s="80"/>
      <c r="AF22" s="57"/>
      <c r="AG22" s="81" t="str">
        <f aca="false">IF(AB22="","",AE22*AF22/8)</f>
        <v/>
      </c>
      <c r="AH22" s="54"/>
      <c r="AI22" s="54"/>
      <c r="AJ22" s="54" t="s">
        <v>647</v>
      </c>
      <c r="AK22" s="82" t="s">
        <v>648</v>
      </c>
      <c r="AL22" s="56"/>
      <c r="AM22" s="56"/>
      <c r="AN22" s="58"/>
      <c r="AO22" s="51" t="n">
        <f aca="false">SUM(F22:I22)</f>
        <v>0</v>
      </c>
      <c r="AP22" s="59" t="n">
        <f aca="false">IF(AB22="",1,IF(K22&lt;&gt;0,(G22*0.5+J22)/K22,1))</f>
        <v>1</v>
      </c>
      <c r="AQ22" s="60" t="str">
        <f aca="false">IF(AM22="","",IF(ISERROR(FIND(CHAR(10),AM22,1)),AM22,LEFT(AM22,FIND(CHAR(10),AM22,1))))</f>
        <v/>
      </c>
      <c r="AR22" s="61" t="str">
        <f aca="false">IF(AM22="","",IFERROR(RIGHT(AM22,LEN(AM22)-FIND("@@@",SUBSTITUTE(AM22,CHAR(10),"@@@",LEN(AM22)-LEN(SUBSTITUTE(AM22,CHAR(10),""))),1)),AM22))</f>
        <v/>
      </c>
      <c r="AS22" s="62" t="str">
        <f aca="false">IFERROR(DATE(("20"&amp;MID(AQ22,7,2))*1,MID(AQ22,4,2)*1,MID(AQ22,1,2)*1),"")</f>
        <v/>
      </c>
      <c r="AT22" s="62" t="str">
        <f aca="false">IFERROR(DATE(("20"&amp;MID(AR22,7,2))*1,MID(AR22,4,2)*1,MID(AR22,1,2)*1),"")</f>
        <v/>
      </c>
      <c r="AU22" s="56" t="s">
        <v>450</v>
      </c>
    </row>
    <row r="23" customFormat="false" ht="12.75" hidden="false" customHeight="true" outlineLevel="0" collapsed="false">
      <c r="B23" s="49" t="str">
        <f aca="false">IF(AH23="","tbc",AH23)</f>
        <v>tbc</v>
      </c>
      <c r="C23" s="49" t="str">
        <f aca="false">IF(AI23="","VNT",AI23)</f>
        <v>VNT</v>
      </c>
      <c r="D23" s="49" t="n">
        <f aca="false">MAX(X23,IF(AT23="none",X23,AT23))</f>
        <v>0</v>
      </c>
      <c r="E23" s="50" t="n">
        <f aca="false">IFERROR(DAYS360(X23,D23),0)</f>
        <v>0</v>
      </c>
      <c r="F23" s="50" t="n">
        <f aca="false">((LEN($AN23)-LEN(SUBSTITUTE($AN23,CHAR(10)&amp;". ","")))/3)+IF(LEFT(TRIM($AN23),2)=". ",1,0)</f>
        <v>0</v>
      </c>
      <c r="G23" s="50" t="n">
        <f aca="false">((LEN($AN23)-LEN(SUBSTITUTE($AN23,CHAR(10)&amp;"/ ","")))/3)+IF(LEFT(TRIM($AN23),2)="/ ",1,0)</f>
        <v>0</v>
      </c>
      <c r="H23" s="50" t="n">
        <f aca="false">((LEN($AN23)-LEN(SUBSTITUTE($AN23,CHAR(10)&amp;"~ ","")))/3)+IF(LEFT(TRIM($AN23),2)="~ ",1,0)</f>
        <v>0</v>
      </c>
      <c r="I23" s="50" t="n">
        <f aca="false">((LEN($AN23)-LEN(SUBSTITUTE($AN23,CHAR(10)&amp;"! ","")))/3)+IF(LEFT(TRIM($AN23),2)="! ",1,0)</f>
        <v>0</v>
      </c>
      <c r="J23" s="50" t="n">
        <f aca="false">((LEN($AN23)-LEN(SUBSTITUTE($AN23,CHAR(10)&amp;"x ","")))/3)+IF(LEFT(TRIM($AN23),2)="x ",1,0)</f>
        <v>0</v>
      </c>
      <c r="K23" s="50" t="n">
        <f aca="false">SUM(F23:J23)</f>
        <v>0</v>
      </c>
      <c r="L23" s="51" t="n">
        <f aca="false">YEAR(D23)</f>
        <v>1899</v>
      </c>
      <c r="M23" s="51" t="str">
        <f aca="false">VLOOKUP(MONTH(D23),Static!$AJ$3:$AK$16,2,0)</f>
        <v>Dec</v>
      </c>
      <c r="N23" s="51" t="n">
        <f aca="false">WEEKNUM(D23,1)</f>
        <v>52</v>
      </c>
      <c r="O23" s="51" t="str">
        <f aca="false">IFERROR(INDEX(Static!$I$5:$L$15,MATCH(AA23,Static!$I$5:$I$15,0),3),"Z")</f>
        <v>Z</v>
      </c>
      <c r="P23" s="51" t="str">
        <f aca="false">IFERROR(INDEX(Static!$I$5:$L$15,MATCH(AA23,Static!$I$5:$I$15,0),4),"Y")</f>
        <v>Y</v>
      </c>
      <c r="Q23" s="51" t="str">
        <f aca="false">IF(D23&gt;(($A$14-WEEKDAY($A$14,2))-7*$D$15),"Y","N")</f>
        <v>N</v>
      </c>
      <c r="R23" s="49" t="str">
        <f aca="false">IF(AB23&lt;&gt;"","Y","N")</f>
        <v>N</v>
      </c>
      <c r="S23" s="51" t="str">
        <f aca="false">IF(AND(Q23="Y",R23="N"),"Y","N")</f>
        <v>N</v>
      </c>
      <c r="T23" s="49" t="str">
        <f aca="false">IF(OR(Y23="Y",Y23="N"),Y23,IF(AND(P23="Y", OR(Q23="Y",S23="Y")),"Y","N"))</f>
        <v>N</v>
      </c>
      <c r="U23" s="51" t="str">
        <f aca="false">"Y"</f>
        <v>Y</v>
      </c>
      <c r="V23" s="53" t="str">
        <f aca="false">" -  "&amp;O23&amp;AJ23&amp;AK23&amp;AB23</f>
        <v>-  Z</v>
      </c>
      <c r="W23" s="51" t="str">
        <f aca="false">IFERROR(VLOOKUP(WEEKDAY(X23),Static!$AL$3:$AM$11,2,0),"")</f>
        <v>Sat</v>
      </c>
      <c r="X23" s="49" t="n">
        <f aca="false">IF(AD23&lt;&gt;"",AS23,0)</f>
        <v>0</v>
      </c>
      <c r="Y23" s="54"/>
      <c r="Z23" s="54"/>
      <c r="AA23" s="79"/>
      <c r="AB23" s="56"/>
      <c r="AC23" s="56"/>
      <c r="AD23" s="54"/>
      <c r="AE23" s="80"/>
      <c r="AF23" s="57"/>
      <c r="AG23" s="81" t="str">
        <f aca="false">IF(AB23="","",AE23*AF23/8)</f>
        <v/>
      </c>
      <c r="AH23" s="54"/>
      <c r="AI23" s="54"/>
      <c r="AJ23" s="54"/>
      <c r="AK23" s="82"/>
      <c r="AL23" s="56"/>
      <c r="AM23" s="56"/>
      <c r="AN23" s="58"/>
      <c r="AO23" s="51" t="n">
        <f aca="false">SUM(F23:I23)</f>
        <v>0</v>
      </c>
      <c r="AP23" s="59" t="n">
        <f aca="false">IF(AB23="",1,IF(K23&lt;&gt;0,(G23*0.5+J23)/K23,1))</f>
        <v>1</v>
      </c>
      <c r="AQ23" s="60" t="str">
        <f aca="false">IF(AM23="","",IF(ISERROR(FIND(CHAR(10),AM23,1)),AM23,LEFT(AM23,FIND(CHAR(10),AM23,1))))</f>
        <v/>
      </c>
      <c r="AR23" s="61" t="str">
        <f aca="false">IF(AM23="","",IFERROR(RIGHT(AM23,LEN(AM23)-FIND("@@@",SUBSTITUTE(AM23,CHAR(10),"@@@",LEN(AM23)-LEN(SUBSTITUTE(AM23,CHAR(10),""))),1)),AM23))</f>
        <v/>
      </c>
      <c r="AS23" s="62" t="str">
        <f aca="false">IFERROR(DATE(("20"&amp;MID(AQ23,7,2))*1,MID(AQ23,4,2)*1,MID(AQ23,1,2)*1),"")</f>
        <v/>
      </c>
      <c r="AT23" s="62" t="str">
        <f aca="false">IFERROR(DATE(("20"&amp;MID(AR23,7,2))*1,MID(AR23,4,2)*1,MID(AR23,1,2)*1),"")</f>
        <v/>
      </c>
      <c r="AU23" s="56" t="s">
        <v>450</v>
      </c>
    </row>
    <row r="24" customFormat="false" ht="12.75" hidden="false" customHeight="true" outlineLevel="0" collapsed="false">
      <c r="B24" s="49" t="str">
        <f aca="false">IF(AH24="","tbc",AH24)</f>
        <v>tbc</v>
      </c>
      <c r="C24" s="49" t="str">
        <f aca="false">IF(AI24="","VNT",AI24)</f>
        <v>VNT</v>
      </c>
      <c r="D24" s="49" t="n">
        <f aca="false">MAX(X24,IF(AT24="none",X24,AT24))</f>
        <v>0</v>
      </c>
      <c r="E24" s="50" t="n">
        <f aca="false">IFERROR(DAYS360(X24,D24),0)</f>
        <v>0</v>
      </c>
      <c r="F24" s="50" t="n">
        <f aca="false">((LEN($AN24)-LEN(SUBSTITUTE($AN24,CHAR(10)&amp;". ","")))/3)+IF(LEFT(TRIM($AN24),2)=". ",1,0)</f>
        <v>0</v>
      </c>
      <c r="G24" s="50" t="n">
        <f aca="false">((LEN($AN24)-LEN(SUBSTITUTE($AN24,CHAR(10)&amp;"/ ","")))/3)+IF(LEFT(TRIM($AN24),2)="/ ",1,0)</f>
        <v>0</v>
      </c>
      <c r="H24" s="50" t="n">
        <f aca="false">((LEN($AN24)-LEN(SUBSTITUTE($AN24,CHAR(10)&amp;"~ ","")))/3)+IF(LEFT(TRIM($AN24),2)="~ ",1,0)</f>
        <v>0</v>
      </c>
      <c r="I24" s="50" t="n">
        <f aca="false">((LEN($AN24)-LEN(SUBSTITUTE($AN24,CHAR(10)&amp;"! ","")))/3)+IF(LEFT(TRIM($AN24),2)="! ",1,0)</f>
        <v>0</v>
      </c>
      <c r="J24" s="50" t="n">
        <f aca="false">((LEN($AN24)-LEN(SUBSTITUTE($AN24,CHAR(10)&amp;"x ","")))/3)+IF(LEFT(TRIM($AN24),2)="x ",1,0)</f>
        <v>0</v>
      </c>
      <c r="K24" s="50" t="n">
        <f aca="false">SUM(F24:J24)</f>
        <v>0</v>
      </c>
      <c r="L24" s="51" t="n">
        <f aca="false">YEAR(D24)</f>
        <v>1899</v>
      </c>
      <c r="M24" s="51" t="str">
        <f aca="false">VLOOKUP(MONTH(D24),Static!$AJ$3:$AK$16,2,0)</f>
        <v>Dec</v>
      </c>
      <c r="N24" s="51" t="n">
        <f aca="false">WEEKNUM(D24,1)</f>
        <v>52</v>
      </c>
      <c r="O24" s="51" t="str">
        <f aca="false">IFERROR(INDEX(Static!$I$5:$L$15,MATCH(AA24,Static!$I$5:$I$15,0),3),"Z")</f>
        <v>Z</v>
      </c>
      <c r="P24" s="51" t="str">
        <f aca="false">IFERROR(INDEX(Static!$I$5:$L$15,MATCH(AA24,Static!$I$5:$I$15,0),4),"Y")</f>
        <v>Y</v>
      </c>
      <c r="Q24" s="51" t="str">
        <f aca="false">IF(D24&gt;(($A$14-WEEKDAY($A$14,2))-7*$D$15),"Y","N")</f>
        <v>N</v>
      </c>
      <c r="R24" s="49" t="str">
        <f aca="false">IF(AB24&lt;&gt;"","Y","N")</f>
        <v>N</v>
      </c>
      <c r="S24" s="51" t="str">
        <f aca="false">IF(AND(Q24="Y",R24="N"),"Y","N")</f>
        <v>N</v>
      </c>
      <c r="T24" s="49" t="str">
        <f aca="false">IF(OR(Y24="Y",Y24="N"),Y24,IF(AND(P24="Y", OR(Q24="Y",S24="Y")),"Y","N"))</f>
        <v>N</v>
      </c>
      <c r="U24" s="51" t="str">
        <f aca="false">"Y"</f>
        <v>Y</v>
      </c>
      <c r="V24" s="53" t="str">
        <f aca="false">" -  "&amp;O24&amp;AJ24&amp;AK24&amp;AB24</f>
        <v>-  Z</v>
      </c>
      <c r="W24" s="51" t="str">
        <f aca="false">IFERROR(VLOOKUP(WEEKDAY(X24),Static!$AL$3:$AM$11,2,0),"")</f>
        <v>Sat</v>
      </c>
      <c r="X24" s="49" t="n">
        <f aca="false">IF(AD24&lt;&gt;"",AS24,0)</f>
        <v>0</v>
      </c>
      <c r="Y24" s="54"/>
      <c r="Z24" s="54"/>
      <c r="AA24" s="79"/>
      <c r="AB24" s="56"/>
      <c r="AC24" s="56"/>
      <c r="AD24" s="54"/>
      <c r="AE24" s="80"/>
      <c r="AF24" s="57"/>
      <c r="AG24" s="81" t="str">
        <f aca="false">IF(AB24="","",AE24*AF24/8)</f>
        <v/>
      </c>
      <c r="AH24" s="54"/>
      <c r="AI24" s="54"/>
      <c r="AJ24" s="54"/>
      <c r="AK24" s="82"/>
      <c r="AL24" s="56"/>
      <c r="AM24" s="56"/>
      <c r="AN24" s="56"/>
      <c r="AO24" s="51" t="n">
        <f aca="false">SUM(F24:I24)</f>
        <v>0</v>
      </c>
      <c r="AP24" s="59" t="n">
        <f aca="false">IF(AB24="",1,IF(K24&lt;&gt;0,(G24*0.5+J24)/K24,1))</f>
        <v>1</v>
      </c>
      <c r="AQ24" s="60" t="str">
        <f aca="false">IF(AM24="","",IF(ISERROR(FIND(CHAR(10),AM24,1)),AM24,LEFT(AM24,FIND(CHAR(10),AM24,1))))</f>
        <v/>
      </c>
      <c r="AR24" s="61" t="str">
        <f aca="false">IF(AM24="","",IFERROR(RIGHT(AM24,LEN(AM24)-FIND("@@@",SUBSTITUTE(AM24,CHAR(10),"@@@",LEN(AM24)-LEN(SUBSTITUTE(AM24,CHAR(10),""))),1)),AM24))</f>
        <v/>
      </c>
      <c r="AS24" s="62" t="str">
        <f aca="false">IFERROR(DATE(("20"&amp;MID(AQ24,7,2))*1,MID(AQ24,4,2)*1,MID(AQ24,1,2)*1),"")</f>
        <v/>
      </c>
      <c r="AT24" s="62" t="str">
        <f aca="false">IFERROR(DATE(("20"&amp;MID(AR24,7,2))*1,MID(AR24,4,2)*1,MID(AR24,1,2)*1),"")</f>
        <v/>
      </c>
      <c r="AU24" s="56" t="s">
        <v>450</v>
      </c>
    </row>
    <row r="25" customFormat="false" ht="12.75" hidden="false" customHeight="true" outlineLevel="0" collapsed="false">
      <c r="B25" s="49" t="str">
        <f aca="false">IF(AH25="","tbc",AH25)</f>
        <v>tbc</v>
      </c>
      <c r="C25" s="49" t="str">
        <f aca="false">IF(AI25="","VNT",AI25)</f>
        <v>VNT</v>
      </c>
      <c r="D25" s="49" t="n">
        <f aca="false">MAX(X25,IF(AT25="none",X25,AT25))</f>
        <v>0</v>
      </c>
      <c r="E25" s="50" t="n">
        <f aca="false">IFERROR(DAYS360(X25,D25),0)</f>
        <v>0</v>
      </c>
      <c r="F25" s="50" t="n">
        <f aca="false">((LEN($AN25)-LEN(SUBSTITUTE($AN25,CHAR(10)&amp;". ","")))/3)+IF(LEFT(TRIM($AN25),2)=". ",1,0)</f>
        <v>0</v>
      </c>
      <c r="G25" s="50" t="n">
        <f aca="false">((LEN($AN25)-LEN(SUBSTITUTE($AN25,CHAR(10)&amp;"/ ","")))/3)+IF(LEFT(TRIM($AN25),2)="/ ",1,0)</f>
        <v>0</v>
      </c>
      <c r="H25" s="50" t="n">
        <f aca="false">((LEN($AN25)-LEN(SUBSTITUTE($AN25,CHAR(10)&amp;"~ ","")))/3)+IF(LEFT(TRIM($AN25),2)="~ ",1,0)</f>
        <v>0</v>
      </c>
      <c r="I25" s="50" t="n">
        <f aca="false">((LEN($AN25)-LEN(SUBSTITUTE($AN25,CHAR(10)&amp;"! ","")))/3)+IF(LEFT(TRIM($AN25),2)="! ",1,0)</f>
        <v>0</v>
      </c>
      <c r="J25" s="50" t="n">
        <f aca="false">((LEN($AN25)-LEN(SUBSTITUTE($AN25,CHAR(10)&amp;"x ","")))/3)+IF(LEFT(TRIM($AN25),2)="x ",1,0)</f>
        <v>0</v>
      </c>
      <c r="K25" s="50" t="n">
        <f aca="false">SUM(F25:J25)</f>
        <v>0</v>
      </c>
      <c r="L25" s="51" t="n">
        <f aca="false">YEAR(D25)</f>
        <v>1899</v>
      </c>
      <c r="M25" s="51" t="str">
        <f aca="false">VLOOKUP(MONTH(D25),Static!$AJ$3:$AK$16,2,0)</f>
        <v>Dec</v>
      </c>
      <c r="N25" s="51" t="n">
        <f aca="false">WEEKNUM(D25,1)</f>
        <v>52</v>
      </c>
      <c r="O25" s="51" t="str">
        <f aca="false">IFERROR(INDEX(Static!$I$5:$L$15,MATCH(AA25,Static!$I$5:$I$15,0),3),"Z")</f>
        <v>Z</v>
      </c>
      <c r="P25" s="51" t="str">
        <f aca="false">IFERROR(INDEX(Static!$I$5:$L$15,MATCH(AA25,Static!$I$5:$I$15,0),4),"Y")</f>
        <v>Y</v>
      </c>
      <c r="Q25" s="51" t="str">
        <f aca="false">IF(D25&gt;(($A$14-WEEKDAY($A$14,2))-7*$D$15),"Y","N")</f>
        <v>N</v>
      </c>
      <c r="R25" s="49" t="str">
        <f aca="false">IF(AB25&lt;&gt;"","Y","N")</f>
        <v>N</v>
      </c>
      <c r="S25" s="51" t="str">
        <f aca="false">IF(AND(Q25="Y",R25="N"),"Y","N")</f>
        <v>N</v>
      </c>
      <c r="T25" s="49" t="str">
        <f aca="false">IF(OR(Y25="Y",Y25="N"),Y25,IF(AND(P25="Y", OR(Q25="Y",S25="Y")),"Y","N"))</f>
        <v>N</v>
      </c>
      <c r="U25" s="51" t="str">
        <f aca="false">"Y"</f>
        <v>Y</v>
      </c>
      <c r="V25" s="53" t="str">
        <f aca="false">" -  "&amp;O25&amp;AJ25&amp;AK25&amp;AB25</f>
        <v>-  Z</v>
      </c>
      <c r="W25" s="51" t="str">
        <f aca="false">IFERROR(VLOOKUP(WEEKDAY(X25),Static!$AL$3:$AM$11,2,0),"")</f>
        <v>Sat</v>
      </c>
      <c r="X25" s="49" t="n">
        <f aca="false">IF(AD25&lt;&gt;"",AS25,0)</f>
        <v>0</v>
      </c>
      <c r="Y25" s="54"/>
      <c r="Z25" s="54"/>
      <c r="AA25" s="79"/>
      <c r="AB25" s="56"/>
      <c r="AC25" s="56"/>
      <c r="AD25" s="54"/>
      <c r="AE25" s="80"/>
      <c r="AF25" s="57"/>
      <c r="AG25" s="81" t="str">
        <f aca="false">IF(AB25="","",AE25*AF25/8)</f>
        <v/>
      </c>
      <c r="AH25" s="54"/>
      <c r="AI25" s="54"/>
      <c r="AJ25" s="54"/>
      <c r="AK25" s="82"/>
      <c r="AL25" s="56"/>
      <c r="AM25" s="56"/>
      <c r="AN25" s="58"/>
      <c r="AO25" s="51" t="n">
        <f aca="false">SUM(F25:I25)</f>
        <v>0</v>
      </c>
      <c r="AP25" s="59" t="n">
        <f aca="false">IF(AB25="",1,IF(K25&lt;&gt;0,(G25*0.5+J25)/K25,1))</f>
        <v>1</v>
      </c>
      <c r="AQ25" s="60" t="str">
        <f aca="false">IF(AM25="","",IF(ISERROR(FIND(CHAR(10),AM25,1)),AM25,LEFT(AM25,FIND(CHAR(10),AM25,1))))</f>
        <v/>
      </c>
      <c r="AR25" s="61" t="str">
        <f aca="false">IF(AM25="","",IFERROR(RIGHT(AM25,LEN(AM25)-FIND("@@@",SUBSTITUTE(AM25,CHAR(10),"@@@",LEN(AM25)-LEN(SUBSTITUTE(AM25,CHAR(10),""))),1)),AM25))</f>
        <v/>
      </c>
      <c r="AS25" s="62" t="str">
        <f aca="false">IFERROR(DATE(("20"&amp;MID(AQ25,7,2))*1,MID(AQ25,4,2)*1,MID(AQ25,1,2)*1),"")</f>
        <v/>
      </c>
      <c r="AT25" s="62" t="str">
        <f aca="false">IFERROR(DATE(("20"&amp;MID(AR25,7,2))*1,MID(AR25,4,2)*1,MID(AR25,1,2)*1),"")</f>
        <v/>
      </c>
      <c r="AU25" s="56" t="s">
        <v>450</v>
      </c>
    </row>
    <row r="26" customFormat="false" ht="12.75" hidden="false" customHeight="true" outlineLevel="0" collapsed="false">
      <c r="B26" s="49" t="str">
        <f aca="false">IF(AH26="","tbc",AH26)</f>
        <v>tbc</v>
      </c>
      <c r="C26" s="49" t="str">
        <f aca="false">IF(AI26="","VNT",AI26)</f>
        <v>VNT</v>
      </c>
      <c r="D26" s="49" t="n">
        <f aca="false">MAX(X26,IF(AT26="none",X26,AT26))</f>
        <v>0</v>
      </c>
      <c r="E26" s="50" t="n">
        <f aca="false">IFERROR(DAYS360(X26,D26),0)</f>
        <v>0</v>
      </c>
      <c r="F26" s="50" t="n">
        <f aca="false">((LEN($AN26)-LEN(SUBSTITUTE($AN26,CHAR(10)&amp;". ","")))/3)+IF(LEFT(TRIM($AN26),2)=". ",1,0)</f>
        <v>0</v>
      </c>
      <c r="G26" s="50" t="n">
        <f aca="false">((LEN($AN26)-LEN(SUBSTITUTE($AN26,CHAR(10)&amp;"/ ","")))/3)+IF(LEFT(TRIM($AN26),2)="/ ",1,0)</f>
        <v>0</v>
      </c>
      <c r="H26" s="50" t="n">
        <f aca="false">((LEN($AN26)-LEN(SUBSTITUTE($AN26,CHAR(10)&amp;"~ ","")))/3)+IF(LEFT(TRIM($AN26),2)="~ ",1,0)</f>
        <v>0</v>
      </c>
      <c r="I26" s="50" t="n">
        <f aca="false">((LEN($AN26)-LEN(SUBSTITUTE($AN26,CHAR(10)&amp;"! ","")))/3)+IF(LEFT(TRIM($AN26),2)="! ",1,0)</f>
        <v>0</v>
      </c>
      <c r="J26" s="50" t="n">
        <f aca="false">((LEN($AN26)-LEN(SUBSTITUTE($AN26,CHAR(10)&amp;"x ","")))/3)+IF(LEFT(TRIM($AN26),2)="x ",1,0)</f>
        <v>0</v>
      </c>
      <c r="K26" s="50" t="n">
        <f aca="false">SUM(F26:J26)</f>
        <v>0</v>
      </c>
      <c r="L26" s="51" t="n">
        <f aca="false">YEAR(D26)</f>
        <v>1899</v>
      </c>
      <c r="M26" s="51" t="str">
        <f aca="false">VLOOKUP(MONTH(D26),Static!$AJ$3:$AK$16,2,0)</f>
        <v>Dec</v>
      </c>
      <c r="N26" s="51" t="n">
        <f aca="false">WEEKNUM(D26,1)</f>
        <v>52</v>
      </c>
      <c r="O26" s="51" t="str">
        <f aca="false">IFERROR(INDEX(Static!$I$5:$L$15,MATCH(AA26,Static!$I$5:$I$15,0),3),"Z")</f>
        <v>Z</v>
      </c>
      <c r="P26" s="51" t="str">
        <f aca="false">IFERROR(INDEX(Static!$I$5:$L$15,MATCH(AA26,Static!$I$5:$I$15,0),4),"Y")</f>
        <v>Y</v>
      </c>
      <c r="Q26" s="51" t="str">
        <f aca="false">IF(D26&gt;(($A$14-WEEKDAY($A$14,2))-7*$D$15),"Y","N")</f>
        <v>N</v>
      </c>
      <c r="R26" s="49" t="str">
        <f aca="false">IF(AB26&lt;&gt;"","Y","N")</f>
        <v>N</v>
      </c>
      <c r="S26" s="51" t="str">
        <f aca="false">IF(AND(Q26="Y",R26="N"),"Y","N")</f>
        <v>N</v>
      </c>
      <c r="T26" s="49" t="str">
        <f aca="false">IF(OR(Y26="Y",Y26="N"),Y26,IF(AND(P26="Y", OR(Q26="Y",S26="Y")),"Y","N"))</f>
        <v>N</v>
      </c>
      <c r="U26" s="51" t="str">
        <f aca="false">"Y"</f>
        <v>Y</v>
      </c>
      <c r="V26" s="53" t="str">
        <f aca="false">" -  "&amp;O26&amp;AJ26&amp;AK26&amp;AB26</f>
        <v>-  Z</v>
      </c>
      <c r="W26" s="51" t="str">
        <f aca="false">IFERROR(VLOOKUP(WEEKDAY(X26),Static!$AL$3:$AM$11,2,0),"")</f>
        <v>Sat</v>
      </c>
      <c r="X26" s="49" t="n">
        <f aca="false">IF(AD26&lt;&gt;"",AS26,0)</f>
        <v>0</v>
      </c>
      <c r="Y26" s="54"/>
      <c r="Z26" s="54"/>
      <c r="AA26" s="79"/>
      <c r="AB26" s="56"/>
      <c r="AC26" s="56"/>
      <c r="AD26" s="54"/>
      <c r="AE26" s="80"/>
      <c r="AF26" s="57"/>
      <c r="AG26" s="81" t="str">
        <f aca="false">IF(AB26="","",AE26*AF26/8)</f>
        <v/>
      </c>
      <c r="AH26" s="54"/>
      <c r="AI26" s="54"/>
      <c r="AJ26" s="54"/>
      <c r="AK26" s="82"/>
      <c r="AL26" s="56"/>
      <c r="AM26" s="56"/>
      <c r="AN26" s="58"/>
      <c r="AO26" s="51" t="n">
        <f aca="false">SUM(F26:I26)</f>
        <v>0</v>
      </c>
      <c r="AP26" s="59" t="n">
        <f aca="false">IF(AB26="",1,IF(K26&lt;&gt;0,(G26*0.5+J26)/K26,1))</f>
        <v>1</v>
      </c>
      <c r="AQ26" s="60" t="str">
        <f aca="false">IF(AM26="","",IF(ISERROR(FIND(CHAR(10),AM26,1)),AM26,LEFT(AM26,FIND(CHAR(10),AM26,1))))</f>
        <v/>
      </c>
      <c r="AR26" s="61" t="str">
        <f aca="false">IF(AM26="","",IFERROR(RIGHT(AM26,LEN(AM26)-FIND("@@@",SUBSTITUTE(AM26,CHAR(10),"@@@",LEN(AM26)-LEN(SUBSTITUTE(AM26,CHAR(10),""))),1)),AM26))</f>
        <v/>
      </c>
      <c r="AS26" s="62" t="str">
        <f aca="false">IFERROR(DATE(("20"&amp;MID(AQ26,7,2))*1,MID(AQ26,4,2)*1,MID(AQ26,1,2)*1),"")</f>
        <v/>
      </c>
      <c r="AT26" s="62" t="str">
        <f aca="false">IFERROR(DATE(("20"&amp;MID(AR26,7,2))*1,MID(AR26,4,2)*1,MID(AR26,1,2)*1),"")</f>
        <v/>
      </c>
      <c r="AU26" s="56" t="s">
        <v>450</v>
      </c>
    </row>
    <row r="27" customFormat="false" ht="12.75" hidden="false" customHeight="true" outlineLevel="0" collapsed="false">
      <c r="B27" s="49" t="str">
        <f aca="false">IF(AH27="","tbc",AH27)</f>
        <v>tbc</v>
      </c>
      <c r="C27" s="49" t="str">
        <f aca="false">IF(AI27="","VNT",AI27)</f>
        <v>VNT</v>
      </c>
      <c r="D27" s="49" t="n">
        <f aca="false">MAX(X27,IF(AT27="none",X27,AT27))</f>
        <v>0</v>
      </c>
      <c r="E27" s="50" t="n">
        <f aca="false">IFERROR(DAYS360(X27,D27),0)</f>
        <v>0</v>
      </c>
      <c r="F27" s="50" t="n">
        <f aca="false">((LEN($AN27)-LEN(SUBSTITUTE($AN27,CHAR(10)&amp;". ","")))/3)+IF(LEFT(TRIM($AN27),2)=". ",1,0)</f>
        <v>0</v>
      </c>
      <c r="G27" s="50" t="n">
        <f aca="false">((LEN($AN27)-LEN(SUBSTITUTE($AN27,CHAR(10)&amp;"/ ","")))/3)+IF(LEFT(TRIM($AN27),2)="/ ",1,0)</f>
        <v>0</v>
      </c>
      <c r="H27" s="50" t="n">
        <f aca="false">((LEN($AN27)-LEN(SUBSTITUTE($AN27,CHAR(10)&amp;"~ ","")))/3)+IF(LEFT(TRIM($AN27),2)="~ ",1,0)</f>
        <v>0</v>
      </c>
      <c r="I27" s="50" t="n">
        <f aca="false">((LEN($AN27)-LEN(SUBSTITUTE($AN27,CHAR(10)&amp;"! ","")))/3)+IF(LEFT(TRIM($AN27),2)="! ",1,0)</f>
        <v>0</v>
      </c>
      <c r="J27" s="50" t="n">
        <f aca="false">((LEN($AN27)-LEN(SUBSTITUTE($AN27,CHAR(10)&amp;"x ","")))/3)+IF(LEFT(TRIM($AN27),2)="x ",1,0)</f>
        <v>0</v>
      </c>
      <c r="K27" s="50" t="n">
        <f aca="false">SUM(F27:J27)</f>
        <v>0</v>
      </c>
      <c r="L27" s="51" t="n">
        <f aca="false">YEAR(D27)</f>
        <v>1899</v>
      </c>
      <c r="M27" s="51" t="str">
        <f aca="false">VLOOKUP(MONTH(D27),Static!$AJ$3:$AK$16,2,0)</f>
        <v>Dec</v>
      </c>
      <c r="N27" s="51" t="n">
        <f aca="false">WEEKNUM(D27,1)</f>
        <v>52</v>
      </c>
      <c r="O27" s="51" t="str">
        <f aca="false">IFERROR(INDEX(Static!$I$5:$L$15,MATCH(AA27,Static!$I$5:$I$15,0),3),"Z")</f>
        <v>Z</v>
      </c>
      <c r="P27" s="51" t="str">
        <f aca="false">IFERROR(INDEX(Static!$I$5:$L$15,MATCH(AA27,Static!$I$5:$I$15,0),4),"Y")</f>
        <v>Y</v>
      </c>
      <c r="Q27" s="51" t="str">
        <f aca="false">IF(D27&gt;(($A$14-WEEKDAY($A$14,2))-7*$D$15),"Y","N")</f>
        <v>N</v>
      </c>
      <c r="R27" s="49" t="str">
        <f aca="false">IF(AB27&lt;&gt;"","Y","N")</f>
        <v>N</v>
      </c>
      <c r="S27" s="51" t="str">
        <f aca="false">IF(AND(Q27="Y",R27="N"),"Y","N")</f>
        <v>N</v>
      </c>
      <c r="T27" s="49" t="str">
        <f aca="false">IF(OR(Y27="Y",Y27="N"),Y27,IF(AND(P27="Y", OR(Q27="Y",S27="Y")),"Y","N"))</f>
        <v>N</v>
      </c>
      <c r="U27" s="51" t="str">
        <f aca="false">"Y"</f>
        <v>Y</v>
      </c>
      <c r="V27" s="53" t="str">
        <f aca="false">" -  "&amp;O27&amp;AJ27&amp;AK27&amp;AB27</f>
        <v>-  Z</v>
      </c>
      <c r="W27" s="51" t="str">
        <f aca="false">IFERROR(VLOOKUP(WEEKDAY(X27),Static!$AL$3:$AM$11,2,0),"")</f>
        <v>Sat</v>
      </c>
      <c r="X27" s="49" t="n">
        <f aca="false">IF(AD27&lt;&gt;"",AS27,0)</f>
        <v>0</v>
      </c>
      <c r="Y27" s="54"/>
      <c r="Z27" s="54"/>
      <c r="AA27" s="79"/>
      <c r="AB27" s="56"/>
      <c r="AC27" s="56"/>
      <c r="AD27" s="54"/>
      <c r="AE27" s="80"/>
      <c r="AF27" s="57"/>
      <c r="AG27" s="81" t="str">
        <f aca="false">IF(AB27="","",AE27*AF27/8)</f>
        <v/>
      </c>
      <c r="AH27" s="54"/>
      <c r="AI27" s="54"/>
      <c r="AJ27" s="54"/>
      <c r="AK27" s="82"/>
      <c r="AL27" s="56"/>
      <c r="AM27" s="56"/>
      <c r="AN27" s="56"/>
      <c r="AO27" s="51" t="n">
        <f aca="false">SUM(F27:I27)</f>
        <v>0</v>
      </c>
      <c r="AP27" s="59" t="n">
        <f aca="false">IF(AB27="",1,IF(K27&lt;&gt;0,(G27*0.5+J27)/K27,1))</f>
        <v>1</v>
      </c>
      <c r="AQ27" s="60" t="str">
        <f aca="false">IF(AM27="","",IF(ISERROR(FIND(CHAR(10),AM27,1)),AM27,LEFT(AM27,FIND(CHAR(10),AM27,1))))</f>
        <v/>
      </c>
      <c r="AR27" s="61" t="str">
        <f aca="false">IF(AM27="","",IFERROR(RIGHT(AM27,LEN(AM27)-FIND("@@@",SUBSTITUTE(AM27,CHAR(10),"@@@",LEN(AM27)-LEN(SUBSTITUTE(AM27,CHAR(10),""))),1)),AM27))</f>
        <v/>
      </c>
      <c r="AS27" s="62" t="str">
        <f aca="false">IFERROR(DATE(("20"&amp;MID(AQ27,7,2))*1,MID(AQ27,4,2)*1,MID(AQ27,1,2)*1),"")</f>
        <v/>
      </c>
      <c r="AT27" s="62" t="str">
        <f aca="false">IFERROR(DATE(("20"&amp;MID(AR27,7,2))*1,MID(AR27,4,2)*1,MID(AR27,1,2)*1),"")</f>
        <v/>
      </c>
      <c r="AU27" s="56" t="s">
        <v>450</v>
      </c>
    </row>
    <row r="28" customFormat="false" ht="12.75" hidden="false" customHeight="true" outlineLevel="0" collapsed="false">
      <c r="B28" s="49" t="str">
        <f aca="false">IF(AH28="","tbc",AH28)</f>
        <v>tbc</v>
      </c>
      <c r="C28" s="49" t="str">
        <f aca="false">IF(AI28="","VNT",AI28)</f>
        <v>VNT</v>
      </c>
      <c r="D28" s="49" t="n">
        <f aca="false">MAX(X28,IF(AT28="none",X28,AT28))</f>
        <v>0</v>
      </c>
      <c r="E28" s="50" t="n">
        <f aca="false">IFERROR(DAYS360(X28,D28),0)</f>
        <v>0</v>
      </c>
      <c r="F28" s="50" t="n">
        <f aca="false">((LEN($AN28)-LEN(SUBSTITUTE($AN28,CHAR(10)&amp;". ","")))/3)+IF(LEFT(TRIM($AN28),2)=". ",1,0)</f>
        <v>0</v>
      </c>
      <c r="G28" s="50" t="n">
        <f aca="false">((LEN($AN28)-LEN(SUBSTITUTE($AN28,CHAR(10)&amp;"/ ","")))/3)+IF(LEFT(TRIM($AN28),2)="/ ",1,0)</f>
        <v>0</v>
      </c>
      <c r="H28" s="50" t="n">
        <f aca="false">((LEN($AN28)-LEN(SUBSTITUTE($AN28,CHAR(10)&amp;"~ ","")))/3)+IF(LEFT(TRIM($AN28),2)="~ ",1,0)</f>
        <v>0</v>
      </c>
      <c r="I28" s="50" t="n">
        <f aca="false">((LEN($AN28)-LEN(SUBSTITUTE($AN28,CHAR(10)&amp;"! ","")))/3)+IF(LEFT(TRIM($AN28),2)="! ",1,0)</f>
        <v>0</v>
      </c>
      <c r="J28" s="50" t="n">
        <f aca="false">((LEN($AN28)-LEN(SUBSTITUTE($AN28,CHAR(10)&amp;"x ","")))/3)+IF(LEFT(TRIM($AN28),2)="x ",1,0)</f>
        <v>0</v>
      </c>
      <c r="K28" s="50" t="n">
        <f aca="false">SUM(F28:J28)</f>
        <v>0</v>
      </c>
      <c r="L28" s="51" t="n">
        <f aca="false">YEAR(D28)</f>
        <v>1899</v>
      </c>
      <c r="M28" s="51" t="str">
        <f aca="false">VLOOKUP(MONTH(D28),Static!$AJ$3:$AK$16,2,0)</f>
        <v>Dec</v>
      </c>
      <c r="N28" s="51" t="n">
        <f aca="false">WEEKNUM(D28,1)</f>
        <v>52</v>
      </c>
      <c r="O28" s="51" t="str">
        <f aca="false">IFERROR(INDEX(Static!$I$5:$L$15,MATCH(AA28,Static!$I$5:$I$15,0),3),"Z")</f>
        <v>Z</v>
      </c>
      <c r="P28" s="51" t="str">
        <f aca="false">IFERROR(INDEX(Static!$I$5:$L$15,MATCH(AA28,Static!$I$5:$I$15,0),4),"Y")</f>
        <v>Y</v>
      </c>
      <c r="Q28" s="51" t="str">
        <f aca="false">IF(D28&gt;(($A$14-WEEKDAY($A$14,2))-7*$D$15),"Y","N")</f>
        <v>N</v>
      </c>
      <c r="R28" s="49" t="str">
        <f aca="false">IF(AB28&lt;&gt;"","Y","N")</f>
        <v>N</v>
      </c>
      <c r="S28" s="51" t="str">
        <f aca="false">IF(AND(Q28="Y",R28="N"),"Y","N")</f>
        <v>N</v>
      </c>
      <c r="T28" s="49" t="str">
        <f aca="false">IF(OR(Y28="Y",Y28="N"),Y28,IF(AND(P28="Y", OR(Q28="Y",S28="Y")),"Y","N"))</f>
        <v>N</v>
      </c>
      <c r="U28" s="51" t="str">
        <f aca="false">"Y"</f>
        <v>Y</v>
      </c>
      <c r="V28" s="53" t="str">
        <f aca="false">" -  "&amp;O28&amp;AJ28&amp;AK28&amp;AB28</f>
        <v>-  Z</v>
      </c>
      <c r="W28" s="51" t="str">
        <f aca="false">IFERROR(VLOOKUP(WEEKDAY(X28),Static!$AL$3:$AM$11,2,0),"")</f>
        <v>Sat</v>
      </c>
      <c r="X28" s="49" t="n">
        <f aca="false">IF(AD28&lt;&gt;"",AS28,0)</f>
        <v>0</v>
      </c>
      <c r="Y28" s="54"/>
      <c r="Z28" s="54"/>
      <c r="AA28" s="79"/>
      <c r="AB28" s="56"/>
      <c r="AC28" s="56"/>
      <c r="AD28" s="54"/>
      <c r="AE28" s="80"/>
      <c r="AF28" s="57"/>
      <c r="AG28" s="81" t="str">
        <f aca="false">IF(AB28="","",AE28*AF28/8)</f>
        <v/>
      </c>
      <c r="AH28" s="54"/>
      <c r="AI28" s="54"/>
      <c r="AJ28" s="54"/>
      <c r="AK28" s="82"/>
      <c r="AL28" s="56"/>
      <c r="AM28" s="56"/>
      <c r="AN28" s="58"/>
      <c r="AO28" s="51" t="n">
        <f aca="false">SUM(F28:I28)</f>
        <v>0</v>
      </c>
      <c r="AP28" s="59" t="n">
        <f aca="false">IF(AB28="",1,IF(K28&lt;&gt;0,(G28*0.5+J28)/K28,1))</f>
        <v>1</v>
      </c>
      <c r="AQ28" s="60" t="str">
        <f aca="false">IF(AM28="","",IF(ISERROR(FIND(CHAR(10),AM28,1)),AM28,LEFT(AM28,FIND(CHAR(10),AM28,1))))</f>
        <v/>
      </c>
      <c r="AR28" s="61" t="str">
        <f aca="false">IF(AM28="","",IFERROR(RIGHT(AM28,LEN(AM28)-FIND("@@@",SUBSTITUTE(AM28,CHAR(10),"@@@",LEN(AM28)-LEN(SUBSTITUTE(AM28,CHAR(10),""))),1)),AM28))</f>
        <v/>
      </c>
      <c r="AS28" s="62" t="str">
        <f aca="false">IFERROR(DATE(("20"&amp;MID(AQ28,7,2))*1,MID(AQ28,4,2)*1,MID(AQ28,1,2)*1),"")</f>
        <v/>
      </c>
      <c r="AT28" s="62" t="str">
        <f aca="false">IFERROR(DATE(("20"&amp;MID(AR28,7,2))*1,MID(AR28,4,2)*1,MID(AR28,1,2)*1),"")</f>
        <v/>
      </c>
      <c r="AU28" s="56" t="s">
        <v>450</v>
      </c>
    </row>
    <row r="29" customFormat="false" ht="12.75" hidden="false" customHeight="true" outlineLevel="0" collapsed="false">
      <c r="B29" s="49" t="str">
        <f aca="false">IF(AH29="","tbc",AH29)</f>
        <v>tbc</v>
      </c>
      <c r="C29" s="49" t="str">
        <f aca="false">IF(AI29="","VNT",AI29)</f>
        <v>VNT</v>
      </c>
      <c r="D29" s="49" t="n">
        <f aca="false">MAX(X29,IF(AT29="none",X29,AT29))</f>
        <v>0</v>
      </c>
      <c r="E29" s="50" t="n">
        <f aca="false">IFERROR(DAYS360(X29,D29),0)</f>
        <v>0</v>
      </c>
      <c r="F29" s="50" t="n">
        <f aca="false">((LEN($AN29)-LEN(SUBSTITUTE($AN29,CHAR(10)&amp;". ","")))/3)+IF(LEFT(TRIM($AN29),2)=". ",1,0)</f>
        <v>0</v>
      </c>
      <c r="G29" s="50" t="n">
        <f aca="false">((LEN($AN29)-LEN(SUBSTITUTE($AN29,CHAR(10)&amp;"/ ","")))/3)+IF(LEFT(TRIM($AN29),2)="/ ",1,0)</f>
        <v>0</v>
      </c>
      <c r="H29" s="50" t="n">
        <f aca="false">((LEN($AN29)-LEN(SUBSTITUTE($AN29,CHAR(10)&amp;"~ ","")))/3)+IF(LEFT(TRIM($AN29),2)="~ ",1,0)</f>
        <v>0</v>
      </c>
      <c r="I29" s="50" t="n">
        <f aca="false">((LEN($AN29)-LEN(SUBSTITUTE($AN29,CHAR(10)&amp;"! ","")))/3)+IF(LEFT(TRIM($AN29),2)="! ",1,0)</f>
        <v>0</v>
      </c>
      <c r="J29" s="50" t="n">
        <f aca="false">((LEN($AN29)-LEN(SUBSTITUTE($AN29,CHAR(10)&amp;"x ","")))/3)+IF(LEFT(TRIM($AN29),2)="x ",1,0)</f>
        <v>0</v>
      </c>
      <c r="K29" s="50" t="n">
        <f aca="false">SUM(F29:J29)</f>
        <v>0</v>
      </c>
      <c r="L29" s="51" t="n">
        <f aca="false">YEAR(D29)</f>
        <v>1899</v>
      </c>
      <c r="M29" s="51" t="str">
        <f aca="false">VLOOKUP(MONTH(D29),Static!$AJ$3:$AK$16,2,0)</f>
        <v>Dec</v>
      </c>
      <c r="N29" s="51" t="n">
        <f aca="false">WEEKNUM(D29,1)</f>
        <v>52</v>
      </c>
      <c r="O29" s="51" t="str">
        <f aca="false">IFERROR(INDEX(Static!$I$5:$L$15,MATCH(AA29,Static!$I$5:$I$15,0),3),"Z")</f>
        <v>Z</v>
      </c>
      <c r="P29" s="51" t="str">
        <f aca="false">IFERROR(INDEX(Static!$I$5:$L$15,MATCH(AA29,Static!$I$5:$I$15,0),4),"Y")</f>
        <v>Y</v>
      </c>
      <c r="Q29" s="51" t="str">
        <f aca="false">IF(D29&gt;(($A$14-WEEKDAY($A$14,2))-7*$D$15),"Y","N")</f>
        <v>N</v>
      </c>
      <c r="R29" s="49" t="str">
        <f aca="false">IF(AB29&lt;&gt;"","Y","N")</f>
        <v>N</v>
      </c>
      <c r="S29" s="51" t="str">
        <f aca="false">IF(AND(Q29="Y",R29="N"),"Y","N")</f>
        <v>N</v>
      </c>
      <c r="T29" s="49" t="str">
        <f aca="false">IF(OR(Y29="Y",Y29="N"),Y29,IF(AND(P29="Y", OR(Q29="Y",S29="Y")),"Y","N"))</f>
        <v>N</v>
      </c>
      <c r="U29" s="51" t="str">
        <f aca="false">"Y"</f>
        <v>Y</v>
      </c>
      <c r="V29" s="53" t="str">
        <f aca="false">" -  "&amp;O29&amp;AJ29&amp;AK29&amp;AB29</f>
        <v>-  Z</v>
      </c>
      <c r="W29" s="51" t="str">
        <f aca="false">IFERROR(VLOOKUP(WEEKDAY(X29),Static!$AL$3:$AM$11,2,0),"")</f>
        <v>Sat</v>
      </c>
      <c r="X29" s="49" t="n">
        <f aca="false">IF(AD29&lt;&gt;"",AS29,0)</f>
        <v>0</v>
      </c>
      <c r="Y29" s="54"/>
      <c r="Z29" s="54"/>
      <c r="AA29" s="79"/>
      <c r="AB29" s="56"/>
      <c r="AC29" s="56"/>
      <c r="AD29" s="54"/>
      <c r="AE29" s="80"/>
      <c r="AF29" s="57"/>
      <c r="AG29" s="81" t="str">
        <f aca="false">IF(AB29="","",AE29*AF29/8)</f>
        <v/>
      </c>
      <c r="AH29" s="54"/>
      <c r="AI29" s="54"/>
      <c r="AJ29" s="54"/>
      <c r="AK29" s="82"/>
      <c r="AL29" s="56"/>
      <c r="AM29" s="56"/>
      <c r="AN29" s="58"/>
      <c r="AO29" s="51" t="n">
        <f aca="false">SUM(F29:I29)</f>
        <v>0</v>
      </c>
      <c r="AP29" s="59" t="n">
        <f aca="false">IF(AB29="",1,IF(K29&lt;&gt;0,(G29*0.5+J29)/K29,1))</f>
        <v>1</v>
      </c>
      <c r="AQ29" s="60" t="str">
        <f aca="false">IF(AM29="","",IF(ISERROR(FIND(CHAR(10),AM29,1)),AM29,LEFT(AM29,FIND(CHAR(10),AM29,1))))</f>
        <v/>
      </c>
      <c r="AR29" s="61" t="str">
        <f aca="false">IF(AM29="","",IFERROR(RIGHT(AM29,LEN(AM29)-FIND("@@@",SUBSTITUTE(AM29,CHAR(10),"@@@",LEN(AM29)-LEN(SUBSTITUTE(AM29,CHAR(10),""))),1)),AM29))</f>
        <v/>
      </c>
      <c r="AS29" s="62" t="str">
        <f aca="false">IFERROR(DATE(("20"&amp;MID(AQ29,7,2))*1,MID(AQ29,4,2)*1,MID(AQ29,1,2)*1),"")</f>
        <v/>
      </c>
      <c r="AT29" s="62" t="str">
        <f aca="false">IFERROR(DATE(("20"&amp;MID(AR29,7,2))*1,MID(AR29,4,2)*1,MID(AR29,1,2)*1),"")</f>
        <v/>
      </c>
      <c r="AU29" s="56" t="s">
        <v>450</v>
      </c>
    </row>
    <row r="30" customFormat="false" ht="12.75" hidden="false" customHeight="true" outlineLevel="0" collapsed="false">
      <c r="B30" s="49" t="str">
        <f aca="false">IF(AH30="","tbc",AH30)</f>
        <v>tbc</v>
      </c>
      <c r="C30" s="49" t="str">
        <f aca="false">IF(AI30="","VNT",AI30)</f>
        <v>VNT</v>
      </c>
      <c r="D30" s="49" t="n">
        <f aca="false">MAX(X30,IF(AT30="none",X30,AT30))</f>
        <v>0</v>
      </c>
      <c r="E30" s="50" t="n">
        <f aca="false">IFERROR(DAYS360(X30,D30),0)</f>
        <v>0</v>
      </c>
      <c r="F30" s="50" t="n">
        <f aca="false">((LEN($AN30)-LEN(SUBSTITUTE($AN30,CHAR(10)&amp;". ","")))/3)+IF(LEFT(TRIM($AN30),2)=". ",1,0)</f>
        <v>0</v>
      </c>
      <c r="G30" s="50" t="n">
        <f aca="false">((LEN($AN30)-LEN(SUBSTITUTE($AN30,CHAR(10)&amp;"/ ","")))/3)+IF(LEFT(TRIM($AN30),2)="/ ",1,0)</f>
        <v>0</v>
      </c>
      <c r="H30" s="50" t="n">
        <f aca="false">((LEN($AN30)-LEN(SUBSTITUTE($AN30,CHAR(10)&amp;"~ ","")))/3)+IF(LEFT(TRIM($AN30),2)="~ ",1,0)</f>
        <v>0</v>
      </c>
      <c r="I30" s="50" t="n">
        <f aca="false">((LEN($AN30)-LEN(SUBSTITUTE($AN30,CHAR(10)&amp;"! ","")))/3)+IF(LEFT(TRIM($AN30),2)="! ",1,0)</f>
        <v>0</v>
      </c>
      <c r="J30" s="50" t="n">
        <f aca="false">((LEN($AN30)-LEN(SUBSTITUTE($AN30,CHAR(10)&amp;"x ","")))/3)+IF(LEFT(TRIM($AN30),2)="x ",1,0)</f>
        <v>0</v>
      </c>
      <c r="K30" s="50" t="n">
        <f aca="false">SUM(F30:J30)</f>
        <v>0</v>
      </c>
      <c r="L30" s="51" t="n">
        <f aca="false">YEAR(D30)</f>
        <v>1899</v>
      </c>
      <c r="M30" s="51" t="str">
        <f aca="false">VLOOKUP(MONTH(D30),Static!$AJ$3:$AK$16,2,0)</f>
        <v>Dec</v>
      </c>
      <c r="N30" s="51" t="n">
        <f aca="false">WEEKNUM(D30,1)</f>
        <v>52</v>
      </c>
      <c r="O30" s="51" t="str">
        <f aca="false">IFERROR(INDEX(Static!$I$5:$L$15,MATCH(AA30,Static!$I$5:$I$15,0),3),"Z")</f>
        <v>Z</v>
      </c>
      <c r="P30" s="51" t="str">
        <f aca="false">IFERROR(INDEX(Static!$I$5:$L$15,MATCH(AA30,Static!$I$5:$I$15,0),4),"Y")</f>
        <v>Y</v>
      </c>
      <c r="Q30" s="51" t="str">
        <f aca="false">IF(D30&gt;(($A$14-WEEKDAY($A$14,2))-7*$D$15),"Y","N")</f>
        <v>N</v>
      </c>
      <c r="R30" s="49" t="str">
        <f aca="false">IF(AB30&lt;&gt;"","Y","N")</f>
        <v>N</v>
      </c>
      <c r="S30" s="51" t="str">
        <f aca="false">IF(AND(Q30="Y",R30="N"),"Y","N")</f>
        <v>N</v>
      </c>
      <c r="T30" s="49" t="str">
        <f aca="false">IF(OR(Y30="Y",Y30="N"),Y30,IF(AND(P30="Y", OR(Q30="Y",S30="Y")),"Y","N"))</f>
        <v>N</v>
      </c>
      <c r="U30" s="51" t="str">
        <f aca="false">"Y"</f>
        <v>Y</v>
      </c>
      <c r="V30" s="53" t="str">
        <f aca="false">" -  "&amp;O30&amp;AJ30&amp;AK30&amp;AB30</f>
        <v>-  Z</v>
      </c>
      <c r="W30" s="51" t="str">
        <f aca="false">IFERROR(VLOOKUP(WEEKDAY(X30),Static!$AL$3:$AM$11,2,0),"")</f>
        <v>Sat</v>
      </c>
      <c r="X30" s="49" t="n">
        <f aca="false">IF(AD30&lt;&gt;"",AS30,0)</f>
        <v>0</v>
      </c>
      <c r="Y30" s="54"/>
      <c r="Z30" s="54"/>
      <c r="AA30" s="79"/>
      <c r="AB30" s="56"/>
      <c r="AC30" s="56"/>
      <c r="AD30" s="54"/>
      <c r="AE30" s="80"/>
      <c r="AF30" s="57"/>
      <c r="AG30" s="81" t="str">
        <f aca="false">IF(AB30="","",AE30*AF30/8)</f>
        <v/>
      </c>
      <c r="AH30" s="54"/>
      <c r="AI30" s="54"/>
      <c r="AJ30" s="54"/>
      <c r="AK30" s="82"/>
      <c r="AL30" s="56"/>
      <c r="AM30" s="56"/>
      <c r="AN30" s="56"/>
      <c r="AO30" s="51" t="n">
        <f aca="false">SUM(F30:I30)</f>
        <v>0</v>
      </c>
      <c r="AP30" s="59" t="n">
        <f aca="false">IF(AB30="",1,IF(K30&lt;&gt;0,(G30*0.5+J30)/K30,1))</f>
        <v>1</v>
      </c>
      <c r="AQ30" s="60" t="str">
        <f aca="false">IF(AM30="","",IF(ISERROR(FIND(CHAR(10),AM30,1)),AM30,LEFT(AM30,FIND(CHAR(10),AM30,1))))</f>
        <v/>
      </c>
      <c r="AR30" s="61" t="str">
        <f aca="false">IF(AM30="","",IFERROR(RIGHT(AM30,LEN(AM30)-FIND("@@@",SUBSTITUTE(AM30,CHAR(10),"@@@",LEN(AM30)-LEN(SUBSTITUTE(AM30,CHAR(10),""))),1)),AM30))</f>
        <v/>
      </c>
      <c r="AS30" s="62" t="str">
        <f aca="false">IFERROR(DATE(("20"&amp;MID(AQ30,7,2))*1,MID(AQ30,4,2)*1,MID(AQ30,1,2)*1),"")</f>
        <v/>
      </c>
      <c r="AT30" s="62" t="str">
        <f aca="false">IFERROR(DATE(("20"&amp;MID(AR30,7,2))*1,MID(AR30,4,2)*1,MID(AR30,1,2)*1),"")</f>
        <v/>
      </c>
      <c r="AU30" s="56" t="s">
        <v>450</v>
      </c>
    </row>
    <row r="31" customFormat="false" ht="12.75" hidden="false" customHeight="true" outlineLevel="0" collapsed="false">
      <c r="B31" s="49" t="str">
        <f aca="false">IF(AH31="","tbc",AH31)</f>
        <v>tbc</v>
      </c>
      <c r="C31" s="49" t="str">
        <f aca="false">IF(AI31="","VNT",AI31)</f>
        <v>VNT</v>
      </c>
      <c r="D31" s="49" t="n">
        <f aca="false">MAX(X31,IF(AT31="none",X31,AT31))</f>
        <v>0</v>
      </c>
      <c r="E31" s="50" t="n">
        <f aca="false">IFERROR(DAYS360(X31,D31),0)</f>
        <v>0</v>
      </c>
      <c r="F31" s="50" t="n">
        <f aca="false">((LEN($AN31)-LEN(SUBSTITUTE($AN31,CHAR(10)&amp;". ","")))/3)+IF(LEFT(TRIM($AN31),2)=". ",1,0)</f>
        <v>0</v>
      </c>
      <c r="G31" s="50" t="n">
        <f aca="false">((LEN($AN31)-LEN(SUBSTITUTE($AN31,CHAR(10)&amp;"/ ","")))/3)+IF(LEFT(TRIM($AN31),2)="/ ",1,0)</f>
        <v>0</v>
      </c>
      <c r="H31" s="50" t="n">
        <f aca="false">((LEN($AN31)-LEN(SUBSTITUTE($AN31,CHAR(10)&amp;"~ ","")))/3)+IF(LEFT(TRIM($AN31),2)="~ ",1,0)</f>
        <v>0</v>
      </c>
      <c r="I31" s="50" t="n">
        <f aca="false">((LEN($AN31)-LEN(SUBSTITUTE($AN31,CHAR(10)&amp;"! ","")))/3)+IF(LEFT(TRIM($AN31),2)="! ",1,0)</f>
        <v>0</v>
      </c>
      <c r="J31" s="50" t="n">
        <f aca="false">((LEN($AN31)-LEN(SUBSTITUTE($AN31,CHAR(10)&amp;"x ","")))/3)+IF(LEFT(TRIM($AN31),2)="x ",1,0)</f>
        <v>0</v>
      </c>
      <c r="K31" s="50" t="n">
        <f aca="false">SUM(F31:J31)</f>
        <v>0</v>
      </c>
      <c r="L31" s="51" t="n">
        <f aca="false">YEAR(D31)</f>
        <v>1899</v>
      </c>
      <c r="M31" s="51" t="str">
        <f aca="false">VLOOKUP(MONTH(D31),Static!$AJ$3:$AK$16,2,0)</f>
        <v>Dec</v>
      </c>
      <c r="N31" s="51" t="n">
        <f aca="false">WEEKNUM(D31,1)</f>
        <v>52</v>
      </c>
      <c r="O31" s="51" t="str">
        <f aca="false">IFERROR(INDEX(Static!$I$5:$L$15,MATCH(AA31,Static!$I$5:$I$15,0),3),"Z")</f>
        <v>Z</v>
      </c>
      <c r="P31" s="51" t="str">
        <f aca="false">IFERROR(INDEX(Static!$I$5:$L$15,MATCH(AA31,Static!$I$5:$I$15,0),4),"Y")</f>
        <v>Y</v>
      </c>
      <c r="Q31" s="51" t="str">
        <f aca="false">IF(D31&gt;(($A$14-WEEKDAY($A$14,2))-7*$D$15),"Y","N")</f>
        <v>N</v>
      </c>
      <c r="R31" s="49" t="str">
        <f aca="false">IF(AB31&lt;&gt;"","Y","N")</f>
        <v>N</v>
      </c>
      <c r="S31" s="51" t="str">
        <f aca="false">IF(AND(Q31="Y",R31="N"),"Y","N")</f>
        <v>N</v>
      </c>
      <c r="T31" s="49" t="str">
        <f aca="false">IF(OR(Y31="Y",Y31="N"),Y31,IF(AND(P31="Y", OR(Q31="Y",S31="Y")),"Y","N"))</f>
        <v>N</v>
      </c>
      <c r="U31" s="51" t="str">
        <f aca="false">"Y"</f>
        <v>Y</v>
      </c>
      <c r="V31" s="53" t="str">
        <f aca="false">" -  "&amp;O31&amp;AJ31&amp;AK31&amp;AB31</f>
        <v>-  Z</v>
      </c>
      <c r="W31" s="51" t="str">
        <f aca="false">IFERROR(VLOOKUP(WEEKDAY(X31),Static!$AL$3:$AM$11,2,0),"")</f>
        <v>Sat</v>
      </c>
      <c r="X31" s="49" t="n">
        <f aca="false">IF(AD31&lt;&gt;"",AS31,0)</f>
        <v>0</v>
      </c>
      <c r="Y31" s="54"/>
      <c r="Z31" s="54"/>
      <c r="AA31" s="79"/>
      <c r="AB31" s="56"/>
      <c r="AC31" s="56"/>
      <c r="AD31" s="54"/>
      <c r="AE31" s="80"/>
      <c r="AF31" s="57"/>
      <c r="AG31" s="81" t="str">
        <f aca="false">IF(AB31="","",AE31*AF31/8)</f>
        <v/>
      </c>
      <c r="AH31" s="54"/>
      <c r="AI31" s="54"/>
      <c r="AJ31" s="54"/>
      <c r="AK31" s="82"/>
      <c r="AL31" s="56"/>
      <c r="AM31" s="56"/>
      <c r="AN31" s="58"/>
      <c r="AO31" s="51" t="n">
        <f aca="false">SUM(F31:I31)</f>
        <v>0</v>
      </c>
      <c r="AP31" s="59" t="n">
        <f aca="false">IF(AB31="",1,IF(K31&lt;&gt;0,(G31*0.5+J31)/K31,1))</f>
        <v>1</v>
      </c>
      <c r="AQ31" s="60" t="str">
        <f aca="false">IF(AM31="","",IF(ISERROR(FIND(CHAR(10),AM31,1)),AM31,LEFT(AM31,FIND(CHAR(10),AM31,1))))</f>
        <v/>
      </c>
      <c r="AR31" s="61" t="str">
        <f aca="false">IF(AM31="","",IFERROR(RIGHT(AM31,LEN(AM31)-FIND("@@@",SUBSTITUTE(AM31,CHAR(10),"@@@",LEN(AM31)-LEN(SUBSTITUTE(AM31,CHAR(10),""))),1)),AM31))</f>
        <v/>
      </c>
      <c r="AS31" s="62" t="str">
        <f aca="false">IFERROR(DATE(("20"&amp;MID(AQ31,7,2))*1,MID(AQ31,4,2)*1,MID(AQ31,1,2)*1),"")</f>
        <v/>
      </c>
      <c r="AT31" s="62" t="str">
        <f aca="false">IFERROR(DATE(("20"&amp;MID(AR31,7,2))*1,MID(AR31,4,2)*1,MID(AR31,1,2)*1),"")</f>
        <v/>
      </c>
      <c r="AU31" s="56" t="s">
        <v>450</v>
      </c>
    </row>
    <row r="32" customFormat="false" ht="12.75" hidden="false" customHeight="true" outlineLevel="0" collapsed="false">
      <c r="B32" s="49" t="str">
        <f aca="false">IF(AH32="","tbc",AH32)</f>
        <v>tbc</v>
      </c>
      <c r="C32" s="49" t="str">
        <f aca="false">IF(AI32="","VNT",AI32)</f>
        <v>VNT</v>
      </c>
      <c r="D32" s="49" t="n">
        <f aca="false">MAX(X32,IF(AT32="none",X32,AT32))</f>
        <v>0</v>
      </c>
      <c r="E32" s="50" t="n">
        <f aca="false">IFERROR(DAYS360(X32,D32),0)</f>
        <v>0</v>
      </c>
      <c r="F32" s="50" t="n">
        <f aca="false">((LEN($AN32)-LEN(SUBSTITUTE($AN32,CHAR(10)&amp;". ","")))/3)+IF(LEFT(TRIM($AN32),2)=". ",1,0)</f>
        <v>0</v>
      </c>
      <c r="G32" s="50" t="n">
        <f aca="false">((LEN($AN32)-LEN(SUBSTITUTE($AN32,CHAR(10)&amp;"/ ","")))/3)+IF(LEFT(TRIM($AN32),2)="/ ",1,0)</f>
        <v>0</v>
      </c>
      <c r="H32" s="50" t="n">
        <f aca="false">((LEN($AN32)-LEN(SUBSTITUTE($AN32,CHAR(10)&amp;"~ ","")))/3)+IF(LEFT(TRIM($AN32),2)="~ ",1,0)</f>
        <v>0</v>
      </c>
      <c r="I32" s="50" t="n">
        <f aca="false">((LEN($AN32)-LEN(SUBSTITUTE($AN32,CHAR(10)&amp;"! ","")))/3)+IF(LEFT(TRIM($AN32),2)="! ",1,0)</f>
        <v>0</v>
      </c>
      <c r="J32" s="50" t="n">
        <f aca="false">((LEN($AN32)-LEN(SUBSTITUTE($AN32,CHAR(10)&amp;"x ","")))/3)+IF(LEFT(TRIM($AN32),2)="x ",1,0)</f>
        <v>0</v>
      </c>
      <c r="K32" s="50" t="n">
        <f aca="false">SUM(F32:J32)</f>
        <v>0</v>
      </c>
      <c r="L32" s="51" t="n">
        <f aca="false">YEAR(D32)</f>
        <v>1899</v>
      </c>
      <c r="M32" s="51" t="str">
        <f aca="false">VLOOKUP(MONTH(D32),Static!$AJ$3:$AK$16,2,0)</f>
        <v>Dec</v>
      </c>
      <c r="N32" s="51" t="n">
        <f aca="false">WEEKNUM(D32,1)</f>
        <v>52</v>
      </c>
      <c r="O32" s="51" t="str">
        <f aca="false">IFERROR(INDEX(Static!$I$5:$L$15,MATCH(AA32,Static!$I$5:$I$15,0),3),"Z")</f>
        <v>Z</v>
      </c>
      <c r="P32" s="51" t="str">
        <f aca="false">IFERROR(INDEX(Static!$I$5:$L$15,MATCH(AA32,Static!$I$5:$I$15,0),4),"Y")</f>
        <v>Y</v>
      </c>
      <c r="Q32" s="51" t="str">
        <f aca="false">IF(D32&gt;(($A$14-WEEKDAY($A$14,2))-7*$D$15),"Y","N")</f>
        <v>N</v>
      </c>
      <c r="R32" s="49" t="str">
        <f aca="false">IF(AB32&lt;&gt;"","Y","N")</f>
        <v>N</v>
      </c>
      <c r="S32" s="51" t="str">
        <f aca="false">IF(AND(Q32="Y",R32="N"),"Y","N")</f>
        <v>N</v>
      </c>
      <c r="T32" s="49" t="str">
        <f aca="false">IF(OR(Y32="Y",Y32="N"),Y32,IF(AND(P32="Y", OR(Q32="Y",S32="Y")),"Y","N"))</f>
        <v>N</v>
      </c>
      <c r="U32" s="51" t="str">
        <f aca="false">"Y"</f>
        <v>Y</v>
      </c>
      <c r="V32" s="53" t="str">
        <f aca="false">" -  "&amp;O32&amp;AJ32&amp;AK32&amp;AB32</f>
        <v>-  Z</v>
      </c>
      <c r="W32" s="51" t="str">
        <f aca="false">IFERROR(VLOOKUP(WEEKDAY(X32),Static!$AL$3:$AM$11,2,0),"")</f>
        <v>Sat</v>
      </c>
      <c r="X32" s="49" t="n">
        <f aca="false">IF(AD32&lt;&gt;"",AS32,0)</f>
        <v>0</v>
      </c>
      <c r="Y32" s="54"/>
      <c r="Z32" s="54"/>
      <c r="AA32" s="79"/>
      <c r="AB32" s="56"/>
      <c r="AC32" s="56"/>
      <c r="AD32" s="54"/>
      <c r="AE32" s="80"/>
      <c r="AF32" s="57"/>
      <c r="AG32" s="81" t="str">
        <f aca="false">IF(AB32="","",AE32*AF32/8)</f>
        <v/>
      </c>
      <c r="AH32" s="54"/>
      <c r="AI32" s="54"/>
      <c r="AJ32" s="54"/>
      <c r="AK32" s="82"/>
      <c r="AL32" s="56"/>
      <c r="AM32" s="56"/>
      <c r="AN32" s="58"/>
      <c r="AO32" s="51" t="n">
        <f aca="false">SUM(F32:I32)</f>
        <v>0</v>
      </c>
      <c r="AP32" s="59" t="n">
        <f aca="false">IF(AB32="",1,IF(K32&lt;&gt;0,(G32*0.5+J32)/K32,1))</f>
        <v>1</v>
      </c>
      <c r="AQ32" s="60" t="str">
        <f aca="false">IF(AM32="","",IF(ISERROR(FIND(CHAR(10),AM32,1)),AM32,LEFT(AM32,FIND(CHAR(10),AM32,1))))</f>
        <v/>
      </c>
      <c r="AR32" s="61" t="str">
        <f aca="false">IF(AM32="","",IFERROR(RIGHT(AM32,LEN(AM32)-FIND("@@@",SUBSTITUTE(AM32,CHAR(10),"@@@",LEN(AM32)-LEN(SUBSTITUTE(AM32,CHAR(10),""))),1)),AM32))</f>
        <v/>
      </c>
      <c r="AS32" s="62" t="str">
        <f aca="false">IFERROR(DATE(("20"&amp;MID(AQ32,7,2))*1,MID(AQ32,4,2)*1,MID(AQ32,1,2)*1),"")</f>
        <v/>
      </c>
      <c r="AT32" s="62" t="str">
        <f aca="false">IFERROR(DATE(("20"&amp;MID(AR32,7,2))*1,MID(AR32,4,2)*1,MID(AR32,1,2)*1),"")</f>
        <v/>
      </c>
      <c r="AU32" s="56" t="s">
        <v>450</v>
      </c>
    </row>
    <row r="33" customFormat="false" ht="12.75" hidden="false" customHeight="true" outlineLevel="0" collapsed="false">
      <c r="B33" s="49" t="str">
        <f aca="false">IF(AH33="","tbc",AH33)</f>
        <v>tbc</v>
      </c>
      <c r="C33" s="49" t="str">
        <f aca="false">IF(AI33="","VNT",AI33)</f>
        <v>VNT</v>
      </c>
      <c r="D33" s="49" t="n">
        <f aca="false">MAX(X33,IF(AT33="none",X33,AT33))</f>
        <v>0</v>
      </c>
      <c r="E33" s="50" t="n">
        <f aca="false">IFERROR(DAYS360(X33,D33),0)</f>
        <v>0</v>
      </c>
      <c r="F33" s="50" t="n">
        <f aca="false">((LEN($AN33)-LEN(SUBSTITUTE($AN33,CHAR(10)&amp;". ","")))/3)+IF(LEFT(TRIM($AN33),2)=". ",1,0)</f>
        <v>0</v>
      </c>
      <c r="G33" s="50" t="n">
        <f aca="false">((LEN($AN33)-LEN(SUBSTITUTE($AN33,CHAR(10)&amp;"/ ","")))/3)+IF(LEFT(TRIM($AN33),2)="/ ",1,0)</f>
        <v>0</v>
      </c>
      <c r="H33" s="50" t="n">
        <f aca="false">((LEN($AN33)-LEN(SUBSTITUTE($AN33,CHAR(10)&amp;"~ ","")))/3)+IF(LEFT(TRIM($AN33),2)="~ ",1,0)</f>
        <v>0</v>
      </c>
      <c r="I33" s="50" t="n">
        <f aca="false">((LEN($AN33)-LEN(SUBSTITUTE($AN33,CHAR(10)&amp;"! ","")))/3)+IF(LEFT(TRIM($AN33),2)="! ",1,0)</f>
        <v>0</v>
      </c>
      <c r="J33" s="50" t="n">
        <f aca="false">((LEN($AN33)-LEN(SUBSTITUTE($AN33,CHAR(10)&amp;"x ","")))/3)+IF(LEFT(TRIM($AN33),2)="x ",1,0)</f>
        <v>0</v>
      </c>
      <c r="K33" s="50" t="n">
        <f aca="false">SUM(F33:J33)</f>
        <v>0</v>
      </c>
      <c r="L33" s="51" t="n">
        <f aca="false">YEAR(D33)</f>
        <v>1899</v>
      </c>
      <c r="M33" s="51" t="str">
        <f aca="false">VLOOKUP(MONTH(D33),Static!$AJ$3:$AK$16,2,0)</f>
        <v>Dec</v>
      </c>
      <c r="N33" s="51" t="n">
        <f aca="false">WEEKNUM(D33,1)</f>
        <v>52</v>
      </c>
      <c r="O33" s="51" t="str">
        <f aca="false">IFERROR(INDEX(Static!$I$5:$L$15,MATCH(AA33,Static!$I$5:$I$15,0),3),"Z")</f>
        <v>Z</v>
      </c>
      <c r="P33" s="51" t="str">
        <f aca="false">IFERROR(INDEX(Static!$I$5:$L$15,MATCH(AA33,Static!$I$5:$I$15,0),4),"Y")</f>
        <v>Y</v>
      </c>
      <c r="Q33" s="51" t="str">
        <f aca="false">IF(D33&gt;(($A$14-WEEKDAY($A$14,2))-7*$D$15),"Y","N")</f>
        <v>N</v>
      </c>
      <c r="R33" s="49" t="str">
        <f aca="false">IF(AB33&lt;&gt;"","Y","N")</f>
        <v>N</v>
      </c>
      <c r="S33" s="51" t="str">
        <f aca="false">IF(AND(Q33="Y",R33="N"),"Y","N")</f>
        <v>N</v>
      </c>
      <c r="T33" s="49" t="str">
        <f aca="false">IF(OR(Y33="Y",Y33="N"),Y33,IF(AND(P33="Y", OR(Q33="Y",S33="Y")),"Y","N"))</f>
        <v>N</v>
      </c>
      <c r="U33" s="51" t="str">
        <f aca="false">"Y"</f>
        <v>Y</v>
      </c>
      <c r="V33" s="53" t="str">
        <f aca="false">" -  "&amp;O33&amp;AJ33&amp;AK33&amp;AB33</f>
        <v>-  Z</v>
      </c>
      <c r="W33" s="51" t="str">
        <f aca="false">IFERROR(VLOOKUP(WEEKDAY(X33),Static!$AL$3:$AM$11,2,0),"")</f>
        <v>Sat</v>
      </c>
      <c r="X33" s="49" t="n">
        <f aca="false">IF(AD33&lt;&gt;"",AS33,0)</f>
        <v>0</v>
      </c>
      <c r="Y33" s="54"/>
      <c r="Z33" s="54"/>
      <c r="AA33" s="79"/>
      <c r="AB33" s="56"/>
      <c r="AC33" s="56"/>
      <c r="AD33" s="54"/>
      <c r="AE33" s="80"/>
      <c r="AF33" s="57"/>
      <c r="AG33" s="81" t="str">
        <f aca="false">IF(AB33="","",AE33*AF33/8)</f>
        <v/>
      </c>
      <c r="AH33" s="54"/>
      <c r="AI33" s="54"/>
      <c r="AJ33" s="54"/>
      <c r="AK33" s="82"/>
      <c r="AL33" s="56"/>
      <c r="AM33" s="56"/>
      <c r="AN33" s="56"/>
      <c r="AO33" s="51" t="n">
        <f aca="false">SUM(F33:I33)</f>
        <v>0</v>
      </c>
      <c r="AP33" s="59" t="n">
        <f aca="false">IF(AB33="",1,IF(K33&lt;&gt;0,(G33*0.5+J33)/K33,1))</f>
        <v>1</v>
      </c>
      <c r="AQ33" s="60" t="str">
        <f aca="false">IF(AM33="","",IF(ISERROR(FIND(CHAR(10),AM33,1)),AM33,LEFT(AM33,FIND(CHAR(10),AM33,1))))</f>
        <v/>
      </c>
      <c r="AR33" s="61" t="str">
        <f aca="false">IF(AM33="","",IFERROR(RIGHT(AM33,LEN(AM33)-FIND("@@@",SUBSTITUTE(AM33,CHAR(10),"@@@",LEN(AM33)-LEN(SUBSTITUTE(AM33,CHAR(10),""))),1)),AM33))</f>
        <v/>
      </c>
      <c r="AS33" s="62" t="str">
        <f aca="false">IFERROR(DATE(("20"&amp;MID(AQ33,7,2))*1,MID(AQ33,4,2)*1,MID(AQ33,1,2)*1),"")</f>
        <v/>
      </c>
      <c r="AT33" s="62" t="str">
        <f aca="false">IFERROR(DATE(("20"&amp;MID(AR33,7,2))*1,MID(AR33,4,2)*1,MID(AR33,1,2)*1),"")</f>
        <v/>
      </c>
      <c r="AU33" s="56" t="s">
        <v>450</v>
      </c>
    </row>
    <row r="34" customFormat="false" ht="12.75" hidden="false" customHeight="true" outlineLevel="0" collapsed="false">
      <c r="B34" s="49" t="str">
        <f aca="false">IF(AH34="","tbc",AH34)</f>
        <v>tbc</v>
      </c>
      <c r="C34" s="49" t="str">
        <f aca="false">IF(AI34="","VNT",AI34)</f>
        <v>VNT</v>
      </c>
      <c r="D34" s="49" t="n">
        <f aca="false">MAX(X34,IF(AT34="none",X34,AT34))</f>
        <v>0</v>
      </c>
      <c r="E34" s="50" t="n">
        <f aca="false">IFERROR(DAYS360(X34,D34),0)</f>
        <v>0</v>
      </c>
      <c r="F34" s="50" t="n">
        <f aca="false">((LEN($AN34)-LEN(SUBSTITUTE($AN34,CHAR(10)&amp;". ","")))/3)+IF(LEFT(TRIM($AN34),2)=". ",1,0)</f>
        <v>0</v>
      </c>
      <c r="G34" s="50" t="n">
        <f aca="false">((LEN($AN34)-LEN(SUBSTITUTE($AN34,CHAR(10)&amp;"/ ","")))/3)+IF(LEFT(TRIM($AN34),2)="/ ",1,0)</f>
        <v>0</v>
      </c>
      <c r="H34" s="50" t="n">
        <f aca="false">((LEN($AN34)-LEN(SUBSTITUTE($AN34,CHAR(10)&amp;"~ ","")))/3)+IF(LEFT(TRIM($AN34),2)="~ ",1,0)</f>
        <v>0</v>
      </c>
      <c r="I34" s="50" t="n">
        <f aca="false">((LEN($AN34)-LEN(SUBSTITUTE($AN34,CHAR(10)&amp;"! ","")))/3)+IF(LEFT(TRIM($AN34),2)="! ",1,0)</f>
        <v>0</v>
      </c>
      <c r="J34" s="50" t="n">
        <f aca="false">((LEN($AN34)-LEN(SUBSTITUTE($AN34,CHAR(10)&amp;"x ","")))/3)+IF(LEFT(TRIM($AN34),2)="x ",1,0)</f>
        <v>0</v>
      </c>
      <c r="K34" s="50" t="n">
        <f aca="false">SUM(F34:J34)</f>
        <v>0</v>
      </c>
      <c r="L34" s="51" t="n">
        <f aca="false">YEAR(D34)</f>
        <v>1899</v>
      </c>
      <c r="M34" s="51" t="str">
        <f aca="false">VLOOKUP(MONTH(D34),Static!$AJ$3:$AK$16,2,0)</f>
        <v>Dec</v>
      </c>
      <c r="N34" s="51" t="n">
        <f aca="false">WEEKNUM(D34,1)</f>
        <v>52</v>
      </c>
      <c r="O34" s="51" t="str">
        <f aca="false">IFERROR(INDEX(Static!$I$5:$L$15,MATCH(AA34,Static!$I$5:$I$15,0),3),"Z")</f>
        <v>Z</v>
      </c>
      <c r="P34" s="51" t="str">
        <f aca="false">IFERROR(INDEX(Static!$I$5:$L$15,MATCH(AA34,Static!$I$5:$I$15,0),4),"Y")</f>
        <v>Y</v>
      </c>
      <c r="Q34" s="51" t="str">
        <f aca="false">IF(D34&gt;(($A$14-WEEKDAY($A$14,2))-7*$D$15),"Y","N")</f>
        <v>N</v>
      </c>
      <c r="R34" s="49" t="str">
        <f aca="false">IF(AB34&lt;&gt;"","Y","N")</f>
        <v>N</v>
      </c>
      <c r="S34" s="51" t="str">
        <f aca="false">IF(AND(Q34="Y",R34="N"),"Y","N")</f>
        <v>N</v>
      </c>
      <c r="T34" s="49" t="str">
        <f aca="false">IF(OR(Y34="Y",Y34="N"),Y34,IF(AND(P34="Y", OR(Q34="Y",S34="Y")),"Y","N"))</f>
        <v>N</v>
      </c>
      <c r="U34" s="51" t="str">
        <f aca="false">"Y"</f>
        <v>Y</v>
      </c>
      <c r="V34" s="53" t="str">
        <f aca="false">" -  "&amp;O34&amp;AJ34&amp;AK34&amp;AB34</f>
        <v>-  Z</v>
      </c>
      <c r="W34" s="51" t="str">
        <f aca="false">IFERROR(VLOOKUP(WEEKDAY(X34),Static!$AL$3:$AM$11,2,0),"")</f>
        <v>Sat</v>
      </c>
      <c r="X34" s="49" t="n">
        <f aca="false">IF(AD34&lt;&gt;"",AS34,0)</f>
        <v>0</v>
      </c>
      <c r="Y34" s="54"/>
      <c r="Z34" s="54"/>
      <c r="AA34" s="79"/>
      <c r="AB34" s="56"/>
      <c r="AC34" s="56"/>
      <c r="AD34" s="54"/>
      <c r="AE34" s="80"/>
      <c r="AF34" s="57"/>
      <c r="AG34" s="81" t="str">
        <f aca="false">IF(AB34="","",AE34*AF34/8)</f>
        <v/>
      </c>
      <c r="AH34" s="54"/>
      <c r="AI34" s="54"/>
      <c r="AJ34" s="54"/>
      <c r="AK34" s="82"/>
      <c r="AL34" s="56"/>
      <c r="AM34" s="56"/>
      <c r="AN34" s="58"/>
      <c r="AO34" s="51" t="n">
        <f aca="false">SUM(F34:I34)</f>
        <v>0</v>
      </c>
      <c r="AP34" s="59" t="n">
        <f aca="false">IF(AB34="",1,IF(K34&lt;&gt;0,(G34*0.5+J34)/K34,1))</f>
        <v>1</v>
      </c>
      <c r="AQ34" s="60" t="str">
        <f aca="false">IF(AM34="","",IF(ISERROR(FIND(CHAR(10),AM34,1)),AM34,LEFT(AM34,FIND(CHAR(10),AM34,1))))</f>
        <v/>
      </c>
      <c r="AR34" s="61" t="str">
        <f aca="false">IF(AM34="","",IFERROR(RIGHT(AM34,LEN(AM34)-FIND("@@@",SUBSTITUTE(AM34,CHAR(10),"@@@",LEN(AM34)-LEN(SUBSTITUTE(AM34,CHAR(10),""))),1)),AM34))</f>
        <v/>
      </c>
      <c r="AS34" s="62" t="str">
        <f aca="false">IFERROR(DATE(("20"&amp;MID(AQ34,7,2))*1,MID(AQ34,4,2)*1,MID(AQ34,1,2)*1),"")</f>
        <v/>
      </c>
      <c r="AT34" s="62" t="str">
        <f aca="false">IFERROR(DATE(("20"&amp;MID(AR34,7,2))*1,MID(AR34,4,2)*1,MID(AR34,1,2)*1),"")</f>
        <v/>
      </c>
      <c r="AU34" s="56" t="s">
        <v>450</v>
      </c>
    </row>
    <row r="35" customFormat="false" ht="12.75" hidden="false" customHeight="true" outlineLevel="0" collapsed="false">
      <c r="B35" s="49" t="str">
        <f aca="false">IF(AH35="","tbc",AH35)</f>
        <v>tbc</v>
      </c>
      <c r="C35" s="49" t="str">
        <f aca="false">IF(AI35="","VNT",AI35)</f>
        <v>VNT</v>
      </c>
      <c r="D35" s="49" t="n">
        <f aca="false">MAX(X35,IF(AT35="none",X35,AT35))</f>
        <v>0</v>
      </c>
      <c r="E35" s="50" t="n">
        <f aca="false">IFERROR(DAYS360(X35,D35),0)</f>
        <v>0</v>
      </c>
      <c r="F35" s="50" t="n">
        <f aca="false">((LEN($AN35)-LEN(SUBSTITUTE($AN35,CHAR(10)&amp;". ","")))/3)+IF(LEFT(TRIM($AN35),2)=". ",1,0)</f>
        <v>0</v>
      </c>
      <c r="G35" s="50" t="n">
        <f aca="false">((LEN($AN35)-LEN(SUBSTITUTE($AN35,CHAR(10)&amp;"/ ","")))/3)+IF(LEFT(TRIM($AN35),2)="/ ",1,0)</f>
        <v>0</v>
      </c>
      <c r="H35" s="50" t="n">
        <f aca="false">((LEN($AN35)-LEN(SUBSTITUTE($AN35,CHAR(10)&amp;"~ ","")))/3)+IF(LEFT(TRIM($AN35),2)="~ ",1,0)</f>
        <v>0</v>
      </c>
      <c r="I35" s="50" t="n">
        <f aca="false">((LEN($AN35)-LEN(SUBSTITUTE($AN35,CHAR(10)&amp;"! ","")))/3)+IF(LEFT(TRIM($AN35),2)="! ",1,0)</f>
        <v>0</v>
      </c>
      <c r="J35" s="50" t="n">
        <f aca="false">((LEN($AN35)-LEN(SUBSTITUTE($AN35,CHAR(10)&amp;"x ","")))/3)+IF(LEFT(TRIM($AN35),2)="x ",1,0)</f>
        <v>0</v>
      </c>
      <c r="K35" s="50" t="n">
        <f aca="false">SUM(F35:J35)</f>
        <v>0</v>
      </c>
      <c r="L35" s="51" t="n">
        <f aca="false">YEAR(D35)</f>
        <v>1899</v>
      </c>
      <c r="M35" s="51" t="str">
        <f aca="false">VLOOKUP(MONTH(D35),Static!$AJ$3:$AK$16,2,0)</f>
        <v>Dec</v>
      </c>
      <c r="N35" s="51" t="n">
        <f aca="false">WEEKNUM(D35,1)</f>
        <v>52</v>
      </c>
      <c r="O35" s="51" t="str">
        <f aca="false">IFERROR(INDEX(Static!$I$5:$L$15,MATCH(AA35,Static!$I$5:$I$15,0),3),"Z")</f>
        <v>Z</v>
      </c>
      <c r="P35" s="51" t="str">
        <f aca="false">IFERROR(INDEX(Static!$I$5:$L$15,MATCH(AA35,Static!$I$5:$I$15,0),4),"Y")</f>
        <v>Y</v>
      </c>
      <c r="Q35" s="51" t="str">
        <f aca="false">IF(D35&gt;(($A$14-WEEKDAY($A$14,2))-7*$D$15),"Y","N")</f>
        <v>N</v>
      </c>
      <c r="R35" s="49" t="str">
        <f aca="false">IF(AB35&lt;&gt;"","Y","N")</f>
        <v>N</v>
      </c>
      <c r="S35" s="51" t="str">
        <f aca="false">IF(AND(Q35="Y",R35="N"),"Y","N")</f>
        <v>N</v>
      </c>
      <c r="T35" s="49" t="str">
        <f aca="false">IF(OR(Y35="Y",Y35="N"),Y35,IF(AND(P35="Y", OR(Q35="Y",S35="Y")),"Y","N"))</f>
        <v>N</v>
      </c>
      <c r="U35" s="51" t="str">
        <f aca="false">"Y"</f>
        <v>Y</v>
      </c>
      <c r="V35" s="53" t="str">
        <f aca="false">" -  "&amp;O35&amp;AJ35&amp;AK35&amp;AB35</f>
        <v>-  Z</v>
      </c>
      <c r="W35" s="51" t="str">
        <f aca="false">IFERROR(VLOOKUP(WEEKDAY(X35),Static!$AL$3:$AM$11,2,0),"")</f>
        <v>Sat</v>
      </c>
      <c r="X35" s="49" t="n">
        <f aca="false">IF(AD35&lt;&gt;"",AS35,0)</f>
        <v>0</v>
      </c>
      <c r="Y35" s="54"/>
      <c r="Z35" s="54"/>
      <c r="AA35" s="79"/>
      <c r="AB35" s="56"/>
      <c r="AC35" s="56"/>
      <c r="AD35" s="54"/>
      <c r="AE35" s="80"/>
      <c r="AF35" s="57"/>
      <c r="AG35" s="81" t="str">
        <f aca="false">IF(AB35="","",AE35*AF35/8)</f>
        <v/>
      </c>
      <c r="AH35" s="54"/>
      <c r="AI35" s="54"/>
      <c r="AJ35" s="54"/>
      <c r="AK35" s="82"/>
      <c r="AL35" s="56"/>
      <c r="AM35" s="56"/>
      <c r="AN35" s="58"/>
      <c r="AO35" s="51" t="n">
        <f aca="false">SUM(F35:I35)</f>
        <v>0</v>
      </c>
      <c r="AP35" s="59" t="n">
        <f aca="false">IF(AB35="",1,IF(K35&lt;&gt;0,(G35*0.5+J35)/K35,1))</f>
        <v>1</v>
      </c>
      <c r="AQ35" s="60" t="str">
        <f aca="false">IF(AM35="","",IF(ISERROR(FIND(CHAR(10),AM35,1)),AM35,LEFT(AM35,FIND(CHAR(10),AM35,1))))</f>
        <v/>
      </c>
      <c r="AR35" s="61" t="str">
        <f aca="false">IF(AM35="","",IFERROR(RIGHT(AM35,LEN(AM35)-FIND("@@@",SUBSTITUTE(AM35,CHAR(10),"@@@",LEN(AM35)-LEN(SUBSTITUTE(AM35,CHAR(10),""))),1)),AM35))</f>
        <v/>
      </c>
      <c r="AS35" s="62" t="str">
        <f aca="false">IFERROR(DATE(("20"&amp;MID(AQ35,7,2))*1,MID(AQ35,4,2)*1,MID(AQ35,1,2)*1),"")</f>
        <v/>
      </c>
      <c r="AT35" s="62" t="str">
        <f aca="false">IFERROR(DATE(("20"&amp;MID(AR35,7,2))*1,MID(AR35,4,2)*1,MID(AR35,1,2)*1),"")</f>
        <v/>
      </c>
      <c r="AU35" s="56" t="s">
        <v>450</v>
      </c>
    </row>
    <row r="36" customFormat="false" ht="12.75" hidden="false" customHeight="true" outlineLevel="0" collapsed="false">
      <c r="B36" s="49" t="str">
        <f aca="false">IF(AH36="","tbc",AH36)</f>
        <v>tbc</v>
      </c>
      <c r="C36" s="49" t="str">
        <f aca="false">IF(AI36="","VNT",AI36)</f>
        <v>VNT</v>
      </c>
      <c r="D36" s="49" t="n">
        <f aca="false">MAX(X36,IF(AT36="none",X36,AT36))</f>
        <v>0</v>
      </c>
      <c r="E36" s="50" t="n">
        <f aca="false">IFERROR(DAYS360(X36,D36),0)</f>
        <v>0</v>
      </c>
      <c r="F36" s="50" t="n">
        <f aca="false">((LEN($AN36)-LEN(SUBSTITUTE($AN36,CHAR(10)&amp;". ","")))/3)+IF(LEFT(TRIM($AN36),2)=". ",1,0)</f>
        <v>0</v>
      </c>
      <c r="G36" s="50" t="n">
        <f aca="false">((LEN($AN36)-LEN(SUBSTITUTE($AN36,CHAR(10)&amp;"/ ","")))/3)+IF(LEFT(TRIM($AN36),2)="/ ",1,0)</f>
        <v>0</v>
      </c>
      <c r="H36" s="50" t="n">
        <f aca="false">((LEN($AN36)-LEN(SUBSTITUTE($AN36,CHAR(10)&amp;"~ ","")))/3)+IF(LEFT(TRIM($AN36),2)="~ ",1,0)</f>
        <v>0</v>
      </c>
      <c r="I36" s="50" t="n">
        <f aca="false">((LEN($AN36)-LEN(SUBSTITUTE($AN36,CHAR(10)&amp;"! ","")))/3)+IF(LEFT(TRIM($AN36),2)="! ",1,0)</f>
        <v>0</v>
      </c>
      <c r="J36" s="50" t="n">
        <f aca="false">((LEN($AN36)-LEN(SUBSTITUTE($AN36,CHAR(10)&amp;"x ","")))/3)+IF(LEFT(TRIM($AN36),2)="x ",1,0)</f>
        <v>0</v>
      </c>
      <c r="K36" s="50" t="n">
        <f aca="false">SUM(F36:J36)</f>
        <v>0</v>
      </c>
      <c r="L36" s="51" t="n">
        <f aca="false">YEAR(D36)</f>
        <v>1899</v>
      </c>
      <c r="M36" s="51" t="str">
        <f aca="false">VLOOKUP(MONTH(D36),Static!$AJ$3:$AK$16,2,0)</f>
        <v>Dec</v>
      </c>
      <c r="N36" s="51" t="n">
        <f aca="false">WEEKNUM(D36,1)</f>
        <v>52</v>
      </c>
      <c r="O36" s="51" t="str">
        <f aca="false">IFERROR(INDEX(Static!$I$5:$L$15,MATCH(AA36,Static!$I$5:$I$15,0),3),"Z")</f>
        <v>Z</v>
      </c>
      <c r="P36" s="51" t="str">
        <f aca="false">IFERROR(INDEX(Static!$I$5:$L$15,MATCH(AA36,Static!$I$5:$I$15,0),4),"Y")</f>
        <v>Y</v>
      </c>
      <c r="Q36" s="51" t="str">
        <f aca="false">IF(D36&gt;(($A$14-WEEKDAY($A$14,2))-7*$D$15),"Y","N")</f>
        <v>N</v>
      </c>
      <c r="R36" s="49" t="str">
        <f aca="false">IF(AB36&lt;&gt;"","Y","N")</f>
        <v>N</v>
      </c>
      <c r="S36" s="51" t="str">
        <f aca="false">IF(AND(Q36="Y",R36="N"),"Y","N")</f>
        <v>N</v>
      </c>
      <c r="T36" s="49" t="str">
        <f aca="false">IF(OR(Y36="Y",Y36="N"),Y36,IF(AND(P36="Y", OR(Q36="Y",S36="Y")),"Y","N"))</f>
        <v>N</v>
      </c>
      <c r="U36" s="51" t="str">
        <f aca="false">"Y"</f>
        <v>Y</v>
      </c>
      <c r="V36" s="53" t="str">
        <f aca="false">" -  "&amp;O36&amp;AJ36&amp;AK36&amp;AB36</f>
        <v>-  Z</v>
      </c>
      <c r="W36" s="51" t="str">
        <f aca="false">IFERROR(VLOOKUP(WEEKDAY(X36),Static!$AL$3:$AM$11,2,0),"")</f>
        <v>Sat</v>
      </c>
      <c r="X36" s="49" t="n">
        <f aca="false">IF(AD36&lt;&gt;"",AS36,0)</f>
        <v>0</v>
      </c>
      <c r="Y36" s="54"/>
      <c r="Z36" s="54"/>
      <c r="AA36" s="79"/>
      <c r="AB36" s="56"/>
      <c r="AC36" s="56"/>
      <c r="AD36" s="54"/>
      <c r="AE36" s="80"/>
      <c r="AF36" s="57"/>
      <c r="AG36" s="81" t="str">
        <f aca="false">IF(AB36="","",AE36*AF36/8)</f>
        <v/>
      </c>
      <c r="AH36" s="54"/>
      <c r="AI36" s="54"/>
      <c r="AJ36" s="54"/>
      <c r="AK36" s="82"/>
      <c r="AL36" s="56"/>
      <c r="AM36" s="56"/>
      <c r="AN36" s="56"/>
      <c r="AO36" s="51" t="n">
        <f aca="false">SUM(F36:I36)</f>
        <v>0</v>
      </c>
      <c r="AP36" s="59" t="n">
        <f aca="false">IF(AB36="",1,IF(K36&lt;&gt;0,(G36*0.5+J36)/K36,1))</f>
        <v>1</v>
      </c>
      <c r="AQ36" s="60" t="str">
        <f aca="false">IF(AM36="","",IF(ISERROR(FIND(CHAR(10),AM36,1)),AM36,LEFT(AM36,FIND(CHAR(10),AM36,1))))</f>
        <v/>
      </c>
      <c r="AR36" s="61" t="str">
        <f aca="false">IF(AM36="","",IFERROR(RIGHT(AM36,LEN(AM36)-FIND("@@@",SUBSTITUTE(AM36,CHAR(10),"@@@",LEN(AM36)-LEN(SUBSTITUTE(AM36,CHAR(10),""))),1)),AM36))</f>
        <v/>
      </c>
      <c r="AS36" s="62" t="str">
        <f aca="false">IFERROR(DATE(("20"&amp;MID(AQ36,7,2))*1,MID(AQ36,4,2)*1,MID(AQ36,1,2)*1),"")</f>
        <v/>
      </c>
      <c r="AT36" s="62" t="str">
        <f aca="false">IFERROR(DATE(("20"&amp;MID(AR36,7,2))*1,MID(AR36,4,2)*1,MID(AR36,1,2)*1),"")</f>
        <v/>
      </c>
      <c r="AU36" s="56" t="s">
        <v>450</v>
      </c>
    </row>
    <row r="37" customFormat="false" ht="12.75" hidden="false" customHeight="true" outlineLevel="0" collapsed="false">
      <c r="B37" s="49" t="str">
        <f aca="false">IF(AH37="","tbc",AH37)</f>
        <v>tbc</v>
      </c>
      <c r="C37" s="49" t="str">
        <f aca="false">IF(AI37="","VNT",AI37)</f>
        <v>VNT</v>
      </c>
      <c r="D37" s="49" t="n">
        <f aca="false">MAX(X37,IF(AT37="none",X37,AT37))</f>
        <v>0</v>
      </c>
      <c r="E37" s="50" t="n">
        <f aca="false">IFERROR(DAYS360(X37,D37),0)</f>
        <v>0</v>
      </c>
      <c r="F37" s="50" t="n">
        <f aca="false">((LEN($AN37)-LEN(SUBSTITUTE($AN37,CHAR(10)&amp;". ","")))/3)+IF(LEFT(TRIM($AN37),2)=". ",1,0)</f>
        <v>0</v>
      </c>
      <c r="G37" s="50" t="n">
        <f aca="false">((LEN($AN37)-LEN(SUBSTITUTE($AN37,CHAR(10)&amp;"/ ","")))/3)+IF(LEFT(TRIM($AN37),2)="/ ",1,0)</f>
        <v>0</v>
      </c>
      <c r="H37" s="50" t="n">
        <f aca="false">((LEN($AN37)-LEN(SUBSTITUTE($AN37,CHAR(10)&amp;"~ ","")))/3)+IF(LEFT(TRIM($AN37),2)="~ ",1,0)</f>
        <v>0</v>
      </c>
      <c r="I37" s="50" t="n">
        <f aca="false">((LEN($AN37)-LEN(SUBSTITUTE($AN37,CHAR(10)&amp;"! ","")))/3)+IF(LEFT(TRIM($AN37),2)="! ",1,0)</f>
        <v>0</v>
      </c>
      <c r="J37" s="50" t="n">
        <f aca="false">((LEN($AN37)-LEN(SUBSTITUTE($AN37,CHAR(10)&amp;"x ","")))/3)+IF(LEFT(TRIM($AN37),2)="x ",1,0)</f>
        <v>0</v>
      </c>
      <c r="K37" s="50" t="n">
        <f aca="false">SUM(F37:J37)</f>
        <v>0</v>
      </c>
      <c r="L37" s="51" t="n">
        <f aca="false">YEAR(D37)</f>
        <v>1899</v>
      </c>
      <c r="M37" s="51" t="str">
        <f aca="false">VLOOKUP(MONTH(D37),Static!$AJ$3:$AK$16,2,0)</f>
        <v>Dec</v>
      </c>
      <c r="N37" s="51" t="n">
        <f aca="false">WEEKNUM(D37,1)</f>
        <v>52</v>
      </c>
      <c r="O37" s="51" t="str">
        <f aca="false">IFERROR(INDEX(Static!$I$5:$L$15,MATCH(AA37,Static!$I$5:$I$15,0),3),"Z")</f>
        <v>Z</v>
      </c>
      <c r="P37" s="51" t="str">
        <f aca="false">IFERROR(INDEX(Static!$I$5:$L$15,MATCH(AA37,Static!$I$5:$I$15,0),4),"Y")</f>
        <v>Y</v>
      </c>
      <c r="Q37" s="51" t="str">
        <f aca="false">IF(D37&gt;(($A$14-WEEKDAY($A$14,2))-7*$D$15),"Y","N")</f>
        <v>N</v>
      </c>
      <c r="R37" s="49" t="str">
        <f aca="false">IF(AB37&lt;&gt;"","Y","N")</f>
        <v>N</v>
      </c>
      <c r="S37" s="51" t="str">
        <f aca="false">IF(AND(Q37="Y",R37="N"),"Y","N")</f>
        <v>N</v>
      </c>
      <c r="T37" s="49" t="str">
        <f aca="false">IF(OR(Y37="Y",Y37="N"),Y37,IF(AND(P37="Y", OR(Q37="Y",S37="Y")),"Y","N"))</f>
        <v>N</v>
      </c>
      <c r="U37" s="51" t="str">
        <f aca="false">"Y"</f>
        <v>Y</v>
      </c>
      <c r="V37" s="53" t="str">
        <f aca="false">" -  "&amp;O37&amp;AJ37&amp;AK37&amp;AB37</f>
        <v>-  Z</v>
      </c>
      <c r="W37" s="51" t="str">
        <f aca="false">IFERROR(VLOOKUP(WEEKDAY(X37),Static!$AL$3:$AM$11,2,0),"")</f>
        <v>Sat</v>
      </c>
      <c r="X37" s="49" t="n">
        <f aca="false">IF(AD37&lt;&gt;"",AS37,0)</f>
        <v>0</v>
      </c>
      <c r="Y37" s="54"/>
      <c r="Z37" s="54"/>
      <c r="AA37" s="79"/>
      <c r="AB37" s="56"/>
      <c r="AC37" s="56"/>
      <c r="AD37" s="54"/>
      <c r="AE37" s="80"/>
      <c r="AF37" s="57"/>
      <c r="AG37" s="81" t="str">
        <f aca="false">IF(AB37="","",AE37*AF37/8)</f>
        <v/>
      </c>
      <c r="AH37" s="54"/>
      <c r="AI37" s="54"/>
      <c r="AJ37" s="54"/>
      <c r="AK37" s="82"/>
      <c r="AL37" s="56"/>
      <c r="AM37" s="56"/>
      <c r="AN37" s="58"/>
      <c r="AO37" s="51" t="n">
        <f aca="false">SUM(F37:I37)</f>
        <v>0</v>
      </c>
      <c r="AP37" s="59" t="n">
        <f aca="false">IF(AB37="",1,IF(K37&lt;&gt;0,(G37*0.5+J37)/K37,1))</f>
        <v>1</v>
      </c>
      <c r="AQ37" s="60" t="str">
        <f aca="false">IF(AM37="","",IF(ISERROR(FIND(CHAR(10),AM37,1)),AM37,LEFT(AM37,FIND(CHAR(10),AM37,1))))</f>
        <v/>
      </c>
      <c r="AR37" s="61" t="str">
        <f aca="false">IF(AM37="","",IFERROR(RIGHT(AM37,LEN(AM37)-FIND("@@@",SUBSTITUTE(AM37,CHAR(10),"@@@",LEN(AM37)-LEN(SUBSTITUTE(AM37,CHAR(10),""))),1)),AM37))</f>
        <v/>
      </c>
      <c r="AS37" s="62" t="str">
        <f aca="false">IFERROR(DATE(("20"&amp;MID(AQ37,7,2))*1,MID(AQ37,4,2)*1,MID(AQ37,1,2)*1),"")</f>
        <v/>
      </c>
      <c r="AT37" s="62" t="str">
        <f aca="false">IFERROR(DATE(("20"&amp;MID(AR37,7,2))*1,MID(AR37,4,2)*1,MID(AR37,1,2)*1),"")</f>
        <v/>
      </c>
      <c r="AU37" s="56" t="s">
        <v>450</v>
      </c>
    </row>
    <row r="38" customFormat="false" ht="12.75" hidden="false" customHeight="true" outlineLevel="0" collapsed="false">
      <c r="B38" s="49" t="str">
        <f aca="false">IF(AH38="","tbc",AH38)</f>
        <v>tbc</v>
      </c>
      <c r="C38" s="49" t="str">
        <f aca="false">IF(AI38="","VNT",AI38)</f>
        <v>VNT</v>
      </c>
      <c r="D38" s="49" t="n">
        <f aca="false">MAX(X38,IF(AT38="none",X38,AT38))</f>
        <v>0</v>
      </c>
      <c r="E38" s="50" t="n">
        <f aca="false">IFERROR(DAYS360(X38,D38),0)</f>
        <v>0</v>
      </c>
      <c r="F38" s="50" t="n">
        <f aca="false">((LEN($AN38)-LEN(SUBSTITUTE($AN38,CHAR(10)&amp;". ","")))/3)+IF(LEFT(TRIM($AN38),2)=". ",1,0)</f>
        <v>0</v>
      </c>
      <c r="G38" s="50" t="n">
        <f aca="false">((LEN($AN38)-LEN(SUBSTITUTE($AN38,CHAR(10)&amp;"/ ","")))/3)+IF(LEFT(TRIM($AN38),2)="/ ",1,0)</f>
        <v>0</v>
      </c>
      <c r="H38" s="50" t="n">
        <f aca="false">((LEN($AN38)-LEN(SUBSTITUTE($AN38,CHAR(10)&amp;"~ ","")))/3)+IF(LEFT(TRIM($AN38),2)="~ ",1,0)</f>
        <v>0</v>
      </c>
      <c r="I38" s="50" t="n">
        <f aca="false">((LEN($AN38)-LEN(SUBSTITUTE($AN38,CHAR(10)&amp;"! ","")))/3)+IF(LEFT(TRIM($AN38),2)="! ",1,0)</f>
        <v>0</v>
      </c>
      <c r="J38" s="50" t="n">
        <f aca="false">((LEN($AN38)-LEN(SUBSTITUTE($AN38,CHAR(10)&amp;"x ","")))/3)+IF(LEFT(TRIM($AN38),2)="x ",1,0)</f>
        <v>0</v>
      </c>
      <c r="K38" s="50" t="n">
        <f aca="false">SUM(F38:J38)</f>
        <v>0</v>
      </c>
      <c r="L38" s="51" t="n">
        <f aca="false">YEAR(D38)</f>
        <v>1899</v>
      </c>
      <c r="M38" s="51" t="str">
        <f aca="false">VLOOKUP(MONTH(D38),Static!$AJ$3:$AK$16,2,0)</f>
        <v>Dec</v>
      </c>
      <c r="N38" s="51" t="n">
        <f aca="false">WEEKNUM(D38,1)</f>
        <v>52</v>
      </c>
      <c r="O38" s="51" t="str">
        <f aca="false">IFERROR(INDEX(Static!$I$5:$L$15,MATCH(AA38,Static!$I$5:$I$15,0),3),"Z")</f>
        <v>Z</v>
      </c>
      <c r="P38" s="51" t="str">
        <f aca="false">IFERROR(INDEX(Static!$I$5:$L$15,MATCH(AA38,Static!$I$5:$I$15,0),4),"Y")</f>
        <v>Y</v>
      </c>
      <c r="Q38" s="51" t="str">
        <f aca="false">IF(D38&gt;(($A$14-WEEKDAY($A$14,2))-7*$D$15),"Y","N")</f>
        <v>N</v>
      </c>
      <c r="R38" s="49" t="str">
        <f aca="false">IF(AB38&lt;&gt;"","Y","N")</f>
        <v>N</v>
      </c>
      <c r="S38" s="51" t="str">
        <f aca="false">IF(AND(Q38="Y",R38="N"),"Y","N")</f>
        <v>N</v>
      </c>
      <c r="T38" s="49" t="str">
        <f aca="false">IF(OR(Y38="Y",Y38="N"),Y38,IF(AND(P38="Y", OR(Q38="Y",S38="Y")),"Y","N"))</f>
        <v>N</v>
      </c>
      <c r="U38" s="51" t="str">
        <f aca="false">"Y"</f>
        <v>Y</v>
      </c>
      <c r="V38" s="53" t="str">
        <f aca="false">" -  "&amp;O38&amp;AJ38&amp;AK38&amp;AB38</f>
        <v>-  Z</v>
      </c>
      <c r="W38" s="51" t="str">
        <f aca="false">IFERROR(VLOOKUP(WEEKDAY(X38),Static!$AL$3:$AM$11,2,0),"")</f>
        <v>Sat</v>
      </c>
      <c r="X38" s="49" t="n">
        <f aca="false">IF(AD38&lt;&gt;"",AS38,0)</f>
        <v>0</v>
      </c>
      <c r="Y38" s="54"/>
      <c r="Z38" s="54"/>
      <c r="AA38" s="79"/>
      <c r="AB38" s="56"/>
      <c r="AC38" s="56"/>
      <c r="AD38" s="54"/>
      <c r="AE38" s="80"/>
      <c r="AF38" s="57"/>
      <c r="AG38" s="81" t="str">
        <f aca="false">IF(AB38="","",AE38*AF38/8)</f>
        <v/>
      </c>
      <c r="AH38" s="54"/>
      <c r="AI38" s="54"/>
      <c r="AJ38" s="54"/>
      <c r="AK38" s="82"/>
      <c r="AL38" s="56"/>
      <c r="AM38" s="56"/>
      <c r="AN38" s="58"/>
      <c r="AO38" s="51" t="n">
        <f aca="false">SUM(F38:I38)</f>
        <v>0</v>
      </c>
      <c r="AP38" s="59" t="n">
        <f aca="false">IF(AB38="",1,IF(K38&lt;&gt;0,(G38*0.5+J38)/K38,1))</f>
        <v>1</v>
      </c>
      <c r="AQ38" s="60" t="str">
        <f aca="false">IF(AM38="","",IF(ISERROR(FIND(CHAR(10),AM38,1)),AM38,LEFT(AM38,FIND(CHAR(10),AM38,1))))</f>
        <v/>
      </c>
      <c r="AR38" s="61" t="str">
        <f aca="false">IF(AM38="","",IFERROR(RIGHT(AM38,LEN(AM38)-FIND("@@@",SUBSTITUTE(AM38,CHAR(10),"@@@",LEN(AM38)-LEN(SUBSTITUTE(AM38,CHAR(10),""))),1)),AM38))</f>
        <v/>
      </c>
      <c r="AS38" s="62" t="str">
        <f aca="false">IFERROR(DATE(("20"&amp;MID(AQ38,7,2))*1,MID(AQ38,4,2)*1,MID(AQ38,1,2)*1),"")</f>
        <v/>
      </c>
      <c r="AT38" s="62" t="str">
        <f aca="false">IFERROR(DATE(("20"&amp;MID(AR38,7,2))*1,MID(AR38,4,2)*1,MID(AR38,1,2)*1),"")</f>
        <v/>
      </c>
      <c r="AU38" s="56" t="s">
        <v>450</v>
      </c>
    </row>
    <row r="39" customFormat="false" ht="12.75" hidden="false" customHeight="true" outlineLevel="0" collapsed="false">
      <c r="B39" s="49" t="str">
        <f aca="false">IF(AH39="","tbc",AH39)</f>
        <v>tbc</v>
      </c>
      <c r="C39" s="49" t="str">
        <f aca="false">IF(AI39="","VNT",AI39)</f>
        <v>VNT</v>
      </c>
      <c r="D39" s="49" t="n">
        <f aca="false">MAX(X39,IF(AT39="none",X39,AT39))</f>
        <v>0</v>
      </c>
      <c r="E39" s="50" t="n">
        <f aca="false">IFERROR(DAYS360(X39,D39),0)</f>
        <v>0</v>
      </c>
      <c r="F39" s="50" t="n">
        <f aca="false">((LEN($AN39)-LEN(SUBSTITUTE($AN39,CHAR(10)&amp;". ","")))/3)+IF(LEFT(TRIM($AN39),2)=". ",1,0)</f>
        <v>0</v>
      </c>
      <c r="G39" s="50" t="n">
        <f aca="false">((LEN($AN39)-LEN(SUBSTITUTE($AN39,CHAR(10)&amp;"/ ","")))/3)+IF(LEFT(TRIM($AN39),2)="/ ",1,0)</f>
        <v>0</v>
      </c>
      <c r="H39" s="50" t="n">
        <f aca="false">((LEN($AN39)-LEN(SUBSTITUTE($AN39,CHAR(10)&amp;"~ ","")))/3)+IF(LEFT(TRIM($AN39),2)="~ ",1,0)</f>
        <v>0</v>
      </c>
      <c r="I39" s="50" t="n">
        <f aca="false">((LEN($AN39)-LEN(SUBSTITUTE($AN39,CHAR(10)&amp;"! ","")))/3)+IF(LEFT(TRIM($AN39),2)="! ",1,0)</f>
        <v>0</v>
      </c>
      <c r="J39" s="50" t="n">
        <f aca="false">((LEN($AN39)-LEN(SUBSTITUTE($AN39,CHAR(10)&amp;"x ","")))/3)+IF(LEFT(TRIM($AN39),2)="x ",1,0)</f>
        <v>0</v>
      </c>
      <c r="K39" s="50" t="n">
        <f aca="false">SUM(F39:J39)</f>
        <v>0</v>
      </c>
      <c r="L39" s="51" t="n">
        <f aca="false">YEAR(D39)</f>
        <v>1899</v>
      </c>
      <c r="M39" s="51" t="str">
        <f aca="false">VLOOKUP(MONTH(D39),Static!$AJ$3:$AK$16,2,0)</f>
        <v>Dec</v>
      </c>
      <c r="N39" s="51" t="n">
        <f aca="false">WEEKNUM(D39,1)</f>
        <v>52</v>
      </c>
      <c r="O39" s="51" t="str">
        <f aca="false">IFERROR(INDEX(Static!$I$5:$L$15,MATCH(AA39,Static!$I$5:$I$15,0),3),"Z")</f>
        <v>Z</v>
      </c>
      <c r="P39" s="51" t="str">
        <f aca="false">IFERROR(INDEX(Static!$I$5:$L$15,MATCH(AA39,Static!$I$5:$I$15,0),4),"Y")</f>
        <v>Y</v>
      </c>
      <c r="Q39" s="51" t="str">
        <f aca="false">IF(D39&gt;(($A$14-WEEKDAY($A$14,2))-7*$D$15),"Y","N")</f>
        <v>N</v>
      </c>
      <c r="R39" s="49" t="str">
        <f aca="false">IF(AB39&lt;&gt;"","Y","N")</f>
        <v>N</v>
      </c>
      <c r="S39" s="51" t="str">
        <f aca="false">IF(AND(Q39="Y",R39="N"),"Y","N")</f>
        <v>N</v>
      </c>
      <c r="T39" s="49" t="str">
        <f aca="false">IF(OR(Y39="Y",Y39="N"),Y39,IF(AND(P39="Y", OR(Q39="Y",S39="Y")),"Y","N"))</f>
        <v>N</v>
      </c>
      <c r="U39" s="51" t="str">
        <f aca="false">"Y"</f>
        <v>Y</v>
      </c>
      <c r="V39" s="53" t="str">
        <f aca="false">" -  "&amp;O39&amp;AJ39&amp;AK39&amp;AB39</f>
        <v>-  Z</v>
      </c>
      <c r="W39" s="51" t="str">
        <f aca="false">IFERROR(VLOOKUP(WEEKDAY(X39),Static!$AL$3:$AM$11,2,0),"")</f>
        <v>Sat</v>
      </c>
      <c r="X39" s="49" t="n">
        <f aca="false">IF(AD39&lt;&gt;"",AS39,0)</f>
        <v>0</v>
      </c>
      <c r="Y39" s="54"/>
      <c r="Z39" s="54"/>
      <c r="AA39" s="79"/>
      <c r="AB39" s="56"/>
      <c r="AC39" s="56"/>
      <c r="AD39" s="54"/>
      <c r="AE39" s="80"/>
      <c r="AF39" s="57"/>
      <c r="AG39" s="81" t="str">
        <f aca="false">IF(AB39="","",AE39*AF39/8)</f>
        <v/>
      </c>
      <c r="AH39" s="54"/>
      <c r="AI39" s="54"/>
      <c r="AJ39" s="54"/>
      <c r="AK39" s="82"/>
      <c r="AL39" s="56"/>
      <c r="AM39" s="56"/>
      <c r="AN39" s="56"/>
      <c r="AO39" s="51" t="n">
        <f aca="false">SUM(F39:I39)</f>
        <v>0</v>
      </c>
      <c r="AP39" s="59" t="n">
        <f aca="false">IF(AB39="",1,IF(K39&lt;&gt;0,(G39*0.5+J39)/K39,1))</f>
        <v>1</v>
      </c>
      <c r="AQ39" s="60" t="str">
        <f aca="false">IF(AM39="","",IF(ISERROR(FIND(CHAR(10),AM39,1)),AM39,LEFT(AM39,FIND(CHAR(10),AM39,1))))</f>
        <v/>
      </c>
      <c r="AR39" s="61" t="str">
        <f aca="false">IF(AM39="","",IFERROR(RIGHT(AM39,LEN(AM39)-FIND("@@@",SUBSTITUTE(AM39,CHAR(10),"@@@",LEN(AM39)-LEN(SUBSTITUTE(AM39,CHAR(10),""))),1)),AM39))</f>
        <v/>
      </c>
      <c r="AS39" s="62" t="str">
        <f aca="false">IFERROR(DATE(("20"&amp;MID(AQ39,7,2))*1,MID(AQ39,4,2)*1,MID(AQ39,1,2)*1),"")</f>
        <v/>
      </c>
      <c r="AT39" s="62" t="str">
        <f aca="false">IFERROR(DATE(("20"&amp;MID(AR39,7,2))*1,MID(AR39,4,2)*1,MID(AR39,1,2)*1),"")</f>
        <v/>
      </c>
      <c r="AU39" s="56" t="s">
        <v>450</v>
      </c>
    </row>
    <row r="40" customFormat="false" ht="12.75" hidden="false" customHeight="true" outlineLevel="0" collapsed="false">
      <c r="B40" s="49" t="str">
        <f aca="false">IF(AH40="","tbc",AH40)</f>
        <v>tbc</v>
      </c>
      <c r="C40" s="49" t="str">
        <f aca="false">IF(AI40="","VNT",AI40)</f>
        <v>VNT</v>
      </c>
      <c r="D40" s="49" t="n">
        <f aca="false">MAX(X40,IF(AT40="none",X40,AT40))</f>
        <v>0</v>
      </c>
      <c r="E40" s="50" t="n">
        <f aca="false">IFERROR(DAYS360(X40,D40),0)</f>
        <v>0</v>
      </c>
      <c r="F40" s="50" t="n">
        <f aca="false">((LEN($AN40)-LEN(SUBSTITUTE($AN40,CHAR(10)&amp;". ","")))/3)+IF(LEFT(TRIM($AN40),2)=". ",1,0)</f>
        <v>0</v>
      </c>
      <c r="G40" s="50" t="n">
        <f aca="false">((LEN($AN40)-LEN(SUBSTITUTE($AN40,CHAR(10)&amp;"/ ","")))/3)+IF(LEFT(TRIM($AN40),2)="/ ",1,0)</f>
        <v>0</v>
      </c>
      <c r="H40" s="50" t="n">
        <f aca="false">((LEN($AN40)-LEN(SUBSTITUTE($AN40,CHAR(10)&amp;"~ ","")))/3)+IF(LEFT(TRIM($AN40),2)="~ ",1,0)</f>
        <v>0</v>
      </c>
      <c r="I40" s="50" t="n">
        <f aca="false">((LEN($AN40)-LEN(SUBSTITUTE($AN40,CHAR(10)&amp;"! ","")))/3)+IF(LEFT(TRIM($AN40),2)="! ",1,0)</f>
        <v>0</v>
      </c>
      <c r="J40" s="50" t="n">
        <f aca="false">((LEN($AN40)-LEN(SUBSTITUTE($AN40,CHAR(10)&amp;"x ","")))/3)+IF(LEFT(TRIM($AN40),2)="x ",1,0)</f>
        <v>0</v>
      </c>
      <c r="K40" s="50" t="n">
        <f aca="false">SUM(F40:J40)</f>
        <v>0</v>
      </c>
      <c r="L40" s="51" t="n">
        <f aca="false">YEAR(D40)</f>
        <v>1899</v>
      </c>
      <c r="M40" s="51" t="str">
        <f aca="false">VLOOKUP(MONTH(D40),Static!$AJ$3:$AK$16,2,0)</f>
        <v>Dec</v>
      </c>
      <c r="N40" s="51" t="n">
        <f aca="false">WEEKNUM(D40,1)</f>
        <v>52</v>
      </c>
      <c r="O40" s="51" t="str">
        <f aca="false">IFERROR(INDEX(Static!$I$5:$L$15,MATCH(AA40,Static!$I$5:$I$15,0),3),"Z")</f>
        <v>Z</v>
      </c>
      <c r="P40" s="51" t="str">
        <f aca="false">IFERROR(INDEX(Static!$I$5:$L$15,MATCH(AA40,Static!$I$5:$I$15,0),4),"Y")</f>
        <v>Y</v>
      </c>
      <c r="Q40" s="51" t="str">
        <f aca="false">IF(D40&gt;(($A$14-WEEKDAY($A$14,2))-7*$D$15),"Y","N")</f>
        <v>N</v>
      </c>
      <c r="R40" s="49" t="str">
        <f aca="false">IF(AB40&lt;&gt;"","Y","N")</f>
        <v>N</v>
      </c>
      <c r="S40" s="51" t="str">
        <f aca="false">IF(AND(Q40="Y",R40="N"),"Y","N")</f>
        <v>N</v>
      </c>
      <c r="T40" s="49" t="str">
        <f aca="false">IF(OR(Y40="Y",Y40="N"),Y40,IF(AND(P40="Y", OR(Q40="Y",S40="Y")),"Y","N"))</f>
        <v>N</v>
      </c>
      <c r="U40" s="51" t="str">
        <f aca="false">"Y"</f>
        <v>Y</v>
      </c>
      <c r="V40" s="53" t="str">
        <f aca="false">" -  "&amp;O40&amp;AJ40&amp;AK40&amp;AB40</f>
        <v>-  Z</v>
      </c>
      <c r="W40" s="51" t="str">
        <f aca="false">IFERROR(VLOOKUP(WEEKDAY(X40),Static!$AL$3:$AM$11,2,0),"")</f>
        <v>Sat</v>
      </c>
      <c r="X40" s="49" t="n">
        <f aca="false">IF(AD40&lt;&gt;"",AS40,0)</f>
        <v>0</v>
      </c>
      <c r="Y40" s="54"/>
      <c r="Z40" s="54"/>
      <c r="AA40" s="79"/>
      <c r="AB40" s="56"/>
      <c r="AC40" s="56"/>
      <c r="AD40" s="54"/>
      <c r="AE40" s="80"/>
      <c r="AF40" s="57"/>
      <c r="AG40" s="81" t="str">
        <f aca="false">IF(AB40="","",AE40*AF40/8)</f>
        <v/>
      </c>
      <c r="AH40" s="54"/>
      <c r="AI40" s="54"/>
      <c r="AJ40" s="54"/>
      <c r="AK40" s="82"/>
      <c r="AL40" s="56"/>
      <c r="AM40" s="56"/>
      <c r="AN40" s="58"/>
      <c r="AO40" s="51" t="n">
        <f aca="false">SUM(F40:I40)</f>
        <v>0</v>
      </c>
      <c r="AP40" s="59" t="n">
        <f aca="false">IF(AB40="",1,IF(K40&lt;&gt;0,(G40*0.5+J40)/K40,1))</f>
        <v>1</v>
      </c>
      <c r="AQ40" s="60" t="str">
        <f aca="false">IF(AM40="","",IF(ISERROR(FIND(CHAR(10),AM40,1)),AM40,LEFT(AM40,FIND(CHAR(10),AM40,1))))</f>
        <v/>
      </c>
      <c r="AR40" s="61" t="str">
        <f aca="false">IF(AM40="","",IFERROR(RIGHT(AM40,LEN(AM40)-FIND("@@@",SUBSTITUTE(AM40,CHAR(10),"@@@",LEN(AM40)-LEN(SUBSTITUTE(AM40,CHAR(10),""))),1)),AM40))</f>
        <v/>
      </c>
      <c r="AS40" s="62" t="str">
        <f aca="false">IFERROR(DATE(("20"&amp;MID(AQ40,7,2))*1,MID(AQ40,4,2)*1,MID(AQ40,1,2)*1),"")</f>
        <v/>
      </c>
      <c r="AT40" s="62" t="str">
        <f aca="false">IFERROR(DATE(("20"&amp;MID(AR40,7,2))*1,MID(AR40,4,2)*1,MID(AR40,1,2)*1),"")</f>
        <v/>
      </c>
      <c r="AU40" s="56" t="s">
        <v>450</v>
      </c>
    </row>
    <row r="41" customFormat="false" ht="12.75" hidden="false" customHeight="true" outlineLevel="0" collapsed="false">
      <c r="B41" s="49" t="str">
        <f aca="false">IF(AH41="","tbc",AH41)</f>
        <v>tbc</v>
      </c>
      <c r="C41" s="49" t="str">
        <f aca="false">IF(AI41="","VNT",AI41)</f>
        <v>VNT</v>
      </c>
      <c r="D41" s="49" t="n">
        <f aca="false">MAX(X41,IF(AT41="none",X41,AT41))</f>
        <v>0</v>
      </c>
      <c r="E41" s="50" t="n">
        <f aca="false">IFERROR(DAYS360(X41,D41),0)</f>
        <v>0</v>
      </c>
      <c r="F41" s="50" t="n">
        <f aca="false">((LEN($AN41)-LEN(SUBSTITUTE($AN41,CHAR(10)&amp;". ","")))/3)+IF(LEFT(TRIM($AN41),2)=". ",1,0)</f>
        <v>0</v>
      </c>
      <c r="G41" s="50" t="n">
        <f aca="false">((LEN($AN41)-LEN(SUBSTITUTE($AN41,CHAR(10)&amp;"/ ","")))/3)+IF(LEFT(TRIM($AN41),2)="/ ",1,0)</f>
        <v>0</v>
      </c>
      <c r="H41" s="50" t="n">
        <f aca="false">((LEN($AN41)-LEN(SUBSTITUTE($AN41,CHAR(10)&amp;"~ ","")))/3)+IF(LEFT(TRIM($AN41),2)="~ ",1,0)</f>
        <v>0</v>
      </c>
      <c r="I41" s="50" t="n">
        <f aca="false">((LEN($AN41)-LEN(SUBSTITUTE($AN41,CHAR(10)&amp;"! ","")))/3)+IF(LEFT(TRIM($AN41),2)="! ",1,0)</f>
        <v>0</v>
      </c>
      <c r="J41" s="50" t="n">
        <f aca="false">((LEN($AN41)-LEN(SUBSTITUTE($AN41,CHAR(10)&amp;"x ","")))/3)+IF(LEFT(TRIM($AN41),2)="x ",1,0)</f>
        <v>0</v>
      </c>
      <c r="K41" s="50" t="n">
        <f aca="false">SUM(F41:J41)</f>
        <v>0</v>
      </c>
      <c r="L41" s="51" t="n">
        <f aca="false">YEAR(D41)</f>
        <v>1899</v>
      </c>
      <c r="M41" s="51" t="str">
        <f aca="false">VLOOKUP(MONTH(D41),Static!$AJ$3:$AK$16,2,0)</f>
        <v>Dec</v>
      </c>
      <c r="N41" s="51" t="n">
        <f aca="false">WEEKNUM(D41,1)</f>
        <v>52</v>
      </c>
      <c r="O41" s="51" t="str">
        <f aca="false">IFERROR(INDEX(Static!$I$5:$L$15,MATCH(AA41,Static!$I$5:$I$15,0),3),"Z")</f>
        <v>Z</v>
      </c>
      <c r="P41" s="51" t="str">
        <f aca="false">IFERROR(INDEX(Static!$I$5:$L$15,MATCH(AA41,Static!$I$5:$I$15,0),4),"Y")</f>
        <v>Y</v>
      </c>
      <c r="Q41" s="51" t="str">
        <f aca="false">IF(D41&gt;(($A$14-WEEKDAY($A$14,2))-7*$D$15),"Y","N")</f>
        <v>N</v>
      </c>
      <c r="R41" s="49" t="str">
        <f aca="false">IF(AB41&lt;&gt;"","Y","N")</f>
        <v>N</v>
      </c>
      <c r="S41" s="51" t="str">
        <f aca="false">IF(AND(Q41="Y",R41="N"),"Y","N")</f>
        <v>N</v>
      </c>
      <c r="T41" s="49" t="str">
        <f aca="false">IF(OR(Y41="Y",Y41="N"),Y41,IF(AND(P41="Y", OR(Q41="Y",S41="Y")),"Y","N"))</f>
        <v>N</v>
      </c>
      <c r="U41" s="51" t="str">
        <f aca="false">"Y"</f>
        <v>Y</v>
      </c>
      <c r="V41" s="53" t="str">
        <f aca="false">" -  "&amp;O41&amp;AJ41&amp;AK41&amp;AB41</f>
        <v>-  Z</v>
      </c>
      <c r="W41" s="51" t="str">
        <f aca="false">IFERROR(VLOOKUP(WEEKDAY(X41),Static!$AL$3:$AM$11,2,0),"")</f>
        <v>Sat</v>
      </c>
      <c r="X41" s="49" t="n">
        <f aca="false">IF(AD41&lt;&gt;"",AS41,0)</f>
        <v>0</v>
      </c>
      <c r="Y41" s="54"/>
      <c r="Z41" s="54"/>
      <c r="AA41" s="79"/>
      <c r="AB41" s="56"/>
      <c r="AC41" s="56"/>
      <c r="AD41" s="54"/>
      <c r="AE41" s="80"/>
      <c r="AF41" s="57"/>
      <c r="AG41" s="81" t="str">
        <f aca="false">IF(AB41="","",AE41*AF41/8)</f>
        <v/>
      </c>
      <c r="AH41" s="54"/>
      <c r="AI41" s="54"/>
      <c r="AJ41" s="54"/>
      <c r="AK41" s="82"/>
      <c r="AL41" s="56"/>
      <c r="AM41" s="56"/>
      <c r="AN41" s="58"/>
      <c r="AO41" s="51" t="n">
        <f aca="false">SUM(F41:I41)</f>
        <v>0</v>
      </c>
      <c r="AP41" s="59" t="n">
        <f aca="false">IF(AB41="",1,IF(K41&lt;&gt;0,(G41*0.5+J41)/K41,1))</f>
        <v>1</v>
      </c>
      <c r="AQ41" s="60" t="str">
        <f aca="false">IF(AM41="","",IF(ISERROR(FIND(CHAR(10),AM41,1)),AM41,LEFT(AM41,FIND(CHAR(10),AM41,1))))</f>
        <v/>
      </c>
      <c r="AR41" s="61" t="str">
        <f aca="false">IF(AM41="","",IFERROR(RIGHT(AM41,LEN(AM41)-FIND("@@@",SUBSTITUTE(AM41,CHAR(10),"@@@",LEN(AM41)-LEN(SUBSTITUTE(AM41,CHAR(10),""))),1)),AM41))</f>
        <v/>
      </c>
      <c r="AS41" s="62" t="str">
        <f aca="false">IFERROR(DATE(("20"&amp;MID(AQ41,7,2))*1,MID(AQ41,4,2)*1,MID(AQ41,1,2)*1),"")</f>
        <v/>
      </c>
      <c r="AT41" s="62" t="str">
        <f aca="false">IFERROR(DATE(("20"&amp;MID(AR41,7,2))*1,MID(AR41,4,2)*1,MID(AR41,1,2)*1),"")</f>
        <v/>
      </c>
      <c r="AU41" s="56" t="s">
        <v>450</v>
      </c>
    </row>
    <row r="42" customFormat="false" ht="12.75" hidden="false" customHeight="true" outlineLevel="0" collapsed="false">
      <c r="B42" s="49" t="str">
        <f aca="false">IF(AH42="","tbc",AH42)</f>
        <v>tbc</v>
      </c>
      <c r="C42" s="49" t="str">
        <f aca="false">IF(AI42="","VNT",AI42)</f>
        <v>VNT</v>
      </c>
      <c r="D42" s="49" t="n">
        <f aca="false">MAX(X42,IF(AT42="none",X42,AT42))</f>
        <v>0</v>
      </c>
      <c r="E42" s="50" t="n">
        <f aca="false">IFERROR(DAYS360(X42,D42),0)</f>
        <v>0</v>
      </c>
      <c r="F42" s="50" t="n">
        <f aca="false">((LEN($AN42)-LEN(SUBSTITUTE($AN42,CHAR(10)&amp;". ","")))/3)+IF(LEFT(TRIM($AN42),2)=". ",1,0)</f>
        <v>0</v>
      </c>
      <c r="G42" s="50" t="n">
        <f aca="false">((LEN($AN42)-LEN(SUBSTITUTE($AN42,CHAR(10)&amp;"/ ","")))/3)+IF(LEFT(TRIM($AN42),2)="/ ",1,0)</f>
        <v>0</v>
      </c>
      <c r="H42" s="50" t="n">
        <f aca="false">((LEN($AN42)-LEN(SUBSTITUTE($AN42,CHAR(10)&amp;"~ ","")))/3)+IF(LEFT(TRIM($AN42),2)="~ ",1,0)</f>
        <v>0</v>
      </c>
      <c r="I42" s="50" t="n">
        <f aca="false">((LEN($AN42)-LEN(SUBSTITUTE($AN42,CHAR(10)&amp;"! ","")))/3)+IF(LEFT(TRIM($AN42),2)="! ",1,0)</f>
        <v>0</v>
      </c>
      <c r="J42" s="50" t="n">
        <f aca="false">((LEN($AN42)-LEN(SUBSTITUTE($AN42,CHAR(10)&amp;"x ","")))/3)+IF(LEFT(TRIM($AN42),2)="x ",1,0)</f>
        <v>0</v>
      </c>
      <c r="K42" s="50" t="n">
        <f aca="false">SUM(F42:J42)</f>
        <v>0</v>
      </c>
      <c r="L42" s="51" t="n">
        <f aca="false">YEAR(D42)</f>
        <v>1899</v>
      </c>
      <c r="M42" s="51" t="str">
        <f aca="false">VLOOKUP(MONTH(D42),Static!$AJ$3:$AK$16,2,0)</f>
        <v>Dec</v>
      </c>
      <c r="N42" s="51" t="n">
        <f aca="false">WEEKNUM(D42,1)</f>
        <v>52</v>
      </c>
      <c r="O42" s="51" t="str">
        <f aca="false">IFERROR(INDEX(Static!$I$5:$L$15,MATCH(AA42,Static!$I$5:$I$15,0),3),"Z")</f>
        <v>Z</v>
      </c>
      <c r="P42" s="51" t="str">
        <f aca="false">IFERROR(INDEX(Static!$I$5:$L$15,MATCH(AA42,Static!$I$5:$I$15,0),4),"Y")</f>
        <v>Y</v>
      </c>
      <c r="Q42" s="51" t="str">
        <f aca="false">IF(D42&gt;(($A$14-WEEKDAY($A$14,2))-7*$D$15),"Y","N")</f>
        <v>N</v>
      </c>
      <c r="R42" s="49" t="str">
        <f aca="false">IF(AB42&lt;&gt;"","Y","N")</f>
        <v>N</v>
      </c>
      <c r="S42" s="51" t="str">
        <f aca="false">IF(AND(Q42="Y",R42="N"),"Y","N")</f>
        <v>N</v>
      </c>
      <c r="T42" s="49" t="str">
        <f aca="false">IF(OR(Y42="Y",Y42="N"),Y42,IF(AND(P42="Y", OR(Q42="Y",S42="Y")),"Y","N"))</f>
        <v>N</v>
      </c>
      <c r="U42" s="51" t="str">
        <f aca="false">"Y"</f>
        <v>Y</v>
      </c>
      <c r="V42" s="53" t="str">
        <f aca="false">" -  "&amp;O42&amp;AJ42&amp;AK42&amp;AB42</f>
        <v>-  Z</v>
      </c>
      <c r="W42" s="51" t="str">
        <f aca="false">IFERROR(VLOOKUP(WEEKDAY(X42),Static!$AL$3:$AM$11,2,0),"")</f>
        <v>Sat</v>
      </c>
      <c r="X42" s="49" t="n">
        <f aca="false">IF(AD42&lt;&gt;"",AS42,0)</f>
        <v>0</v>
      </c>
      <c r="Y42" s="54"/>
      <c r="Z42" s="54"/>
      <c r="AA42" s="79"/>
      <c r="AB42" s="56"/>
      <c r="AC42" s="56"/>
      <c r="AD42" s="54"/>
      <c r="AE42" s="80"/>
      <c r="AF42" s="57"/>
      <c r="AG42" s="81" t="str">
        <f aca="false">IF(AB42="","",AE42*AF42/8)</f>
        <v/>
      </c>
      <c r="AH42" s="54"/>
      <c r="AI42" s="54"/>
      <c r="AJ42" s="54"/>
      <c r="AK42" s="82"/>
      <c r="AL42" s="56"/>
      <c r="AM42" s="56"/>
      <c r="AN42" s="56"/>
      <c r="AO42" s="51" t="n">
        <f aca="false">SUM(F42:I42)</f>
        <v>0</v>
      </c>
      <c r="AP42" s="59" t="n">
        <f aca="false">IF(AB42="",1,IF(K42&lt;&gt;0,(G42*0.5+J42)/K42,1))</f>
        <v>1</v>
      </c>
      <c r="AQ42" s="60" t="str">
        <f aca="false">IF(AM42="","",IF(ISERROR(FIND(CHAR(10),AM42,1)),AM42,LEFT(AM42,FIND(CHAR(10),AM42,1))))</f>
        <v/>
      </c>
      <c r="AR42" s="61" t="str">
        <f aca="false">IF(AM42="","",IFERROR(RIGHT(AM42,LEN(AM42)-FIND("@@@",SUBSTITUTE(AM42,CHAR(10),"@@@",LEN(AM42)-LEN(SUBSTITUTE(AM42,CHAR(10),""))),1)),AM42))</f>
        <v/>
      </c>
      <c r="AS42" s="62" t="str">
        <f aca="false">IFERROR(DATE(("20"&amp;MID(AQ42,7,2))*1,MID(AQ42,4,2)*1,MID(AQ42,1,2)*1),"")</f>
        <v/>
      </c>
      <c r="AT42" s="62" t="str">
        <f aca="false">IFERROR(DATE(("20"&amp;MID(AR42,7,2))*1,MID(AR42,4,2)*1,MID(AR42,1,2)*1),"")</f>
        <v/>
      </c>
      <c r="AU42" s="56" t="s">
        <v>450</v>
      </c>
    </row>
    <row r="43" customFormat="false" ht="12.75" hidden="false" customHeight="true" outlineLevel="0" collapsed="false">
      <c r="B43" s="49" t="str">
        <f aca="false">IF(AH43="","tbc",AH43)</f>
        <v>tbc</v>
      </c>
      <c r="C43" s="49" t="str">
        <f aca="false">IF(AI43="","VNT",AI43)</f>
        <v>VNT</v>
      </c>
      <c r="D43" s="49" t="n">
        <f aca="false">MAX(X43,IF(AT43="none",X43,AT43))</f>
        <v>0</v>
      </c>
      <c r="E43" s="50" t="n">
        <f aca="false">IFERROR(DAYS360(X43,D43),0)</f>
        <v>0</v>
      </c>
      <c r="F43" s="50" t="n">
        <f aca="false">((LEN($AN43)-LEN(SUBSTITUTE($AN43,CHAR(10)&amp;". ","")))/3)+IF(LEFT(TRIM($AN43),2)=". ",1,0)</f>
        <v>0</v>
      </c>
      <c r="G43" s="50" t="n">
        <f aca="false">((LEN($AN43)-LEN(SUBSTITUTE($AN43,CHAR(10)&amp;"/ ","")))/3)+IF(LEFT(TRIM($AN43),2)="/ ",1,0)</f>
        <v>0</v>
      </c>
      <c r="H43" s="50" t="n">
        <f aca="false">((LEN($AN43)-LEN(SUBSTITUTE($AN43,CHAR(10)&amp;"~ ","")))/3)+IF(LEFT(TRIM($AN43),2)="~ ",1,0)</f>
        <v>0</v>
      </c>
      <c r="I43" s="50" t="n">
        <f aca="false">((LEN($AN43)-LEN(SUBSTITUTE($AN43,CHAR(10)&amp;"! ","")))/3)+IF(LEFT(TRIM($AN43),2)="! ",1,0)</f>
        <v>0</v>
      </c>
      <c r="J43" s="50" t="n">
        <f aca="false">((LEN($AN43)-LEN(SUBSTITUTE($AN43,CHAR(10)&amp;"x ","")))/3)+IF(LEFT(TRIM($AN43),2)="x ",1,0)</f>
        <v>0</v>
      </c>
      <c r="K43" s="50" t="n">
        <f aca="false">SUM(F43:J43)</f>
        <v>0</v>
      </c>
      <c r="L43" s="51" t="n">
        <f aca="false">YEAR(D43)</f>
        <v>1899</v>
      </c>
      <c r="M43" s="51" t="str">
        <f aca="false">VLOOKUP(MONTH(D43),Static!$AJ$3:$AK$16,2,0)</f>
        <v>Dec</v>
      </c>
      <c r="N43" s="51" t="n">
        <f aca="false">WEEKNUM(D43,1)</f>
        <v>52</v>
      </c>
      <c r="O43" s="51" t="str">
        <f aca="false">IFERROR(INDEX(Static!$I$5:$L$15,MATCH(AA43,Static!$I$5:$I$15,0),3),"Z")</f>
        <v>Z</v>
      </c>
      <c r="P43" s="51" t="str">
        <f aca="false">IFERROR(INDEX(Static!$I$5:$L$15,MATCH(AA43,Static!$I$5:$I$15,0),4),"Y")</f>
        <v>Y</v>
      </c>
      <c r="Q43" s="51" t="str">
        <f aca="false">IF(D43&gt;(($A$14-WEEKDAY($A$14,2))-7*$D$15),"Y","N")</f>
        <v>N</v>
      </c>
      <c r="R43" s="49" t="str">
        <f aca="false">IF(AB43&lt;&gt;"","Y","N")</f>
        <v>N</v>
      </c>
      <c r="S43" s="51" t="str">
        <f aca="false">IF(AND(Q43="Y",R43="N"),"Y","N")</f>
        <v>N</v>
      </c>
      <c r="T43" s="49" t="str">
        <f aca="false">IF(OR(Y43="Y",Y43="N"),Y43,IF(AND(P43="Y", OR(Q43="Y",S43="Y")),"Y","N"))</f>
        <v>N</v>
      </c>
      <c r="U43" s="51" t="str">
        <f aca="false">"Y"</f>
        <v>Y</v>
      </c>
      <c r="V43" s="53" t="str">
        <f aca="false">" -  "&amp;O43&amp;AJ43&amp;AK43&amp;AB43</f>
        <v>-  Z</v>
      </c>
      <c r="W43" s="51" t="str">
        <f aca="false">IFERROR(VLOOKUP(WEEKDAY(X43),Static!$AL$3:$AM$11,2,0),"")</f>
        <v>Sat</v>
      </c>
      <c r="X43" s="49" t="n">
        <f aca="false">IF(AD43&lt;&gt;"",AS43,0)</f>
        <v>0</v>
      </c>
      <c r="Y43" s="54"/>
      <c r="Z43" s="54"/>
      <c r="AA43" s="79"/>
      <c r="AB43" s="56"/>
      <c r="AC43" s="56"/>
      <c r="AD43" s="54"/>
      <c r="AE43" s="80"/>
      <c r="AF43" s="57"/>
      <c r="AG43" s="81" t="str">
        <f aca="false">IF(AB43="","",AE43*AF43/8)</f>
        <v/>
      </c>
      <c r="AH43" s="54"/>
      <c r="AI43" s="54"/>
      <c r="AJ43" s="54"/>
      <c r="AK43" s="82"/>
      <c r="AL43" s="56"/>
      <c r="AM43" s="56"/>
      <c r="AN43" s="58"/>
      <c r="AO43" s="51" t="n">
        <f aca="false">SUM(F43:I43)</f>
        <v>0</v>
      </c>
      <c r="AP43" s="59" t="n">
        <f aca="false">IF(AB43="",1,IF(K43&lt;&gt;0,(G43*0.5+J43)/K43,1))</f>
        <v>1</v>
      </c>
      <c r="AQ43" s="60" t="str">
        <f aca="false">IF(AM43="","",IF(ISERROR(FIND(CHAR(10),AM43,1)),AM43,LEFT(AM43,FIND(CHAR(10),AM43,1))))</f>
        <v/>
      </c>
      <c r="AR43" s="61" t="str">
        <f aca="false">IF(AM43="","",IFERROR(RIGHT(AM43,LEN(AM43)-FIND("@@@",SUBSTITUTE(AM43,CHAR(10),"@@@",LEN(AM43)-LEN(SUBSTITUTE(AM43,CHAR(10),""))),1)),AM43))</f>
        <v/>
      </c>
      <c r="AS43" s="62" t="str">
        <f aca="false">IFERROR(DATE(("20"&amp;MID(AQ43,7,2))*1,MID(AQ43,4,2)*1,MID(AQ43,1,2)*1),"")</f>
        <v/>
      </c>
      <c r="AT43" s="62" t="str">
        <f aca="false">IFERROR(DATE(("20"&amp;MID(AR43,7,2))*1,MID(AR43,4,2)*1,MID(AR43,1,2)*1),"")</f>
        <v/>
      </c>
      <c r="AU43" s="56" t="s">
        <v>450</v>
      </c>
    </row>
    <row r="44" customFormat="false" ht="12.75" hidden="false" customHeight="true" outlineLevel="0" collapsed="false">
      <c r="B44" s="49" t="str">
        <f aca="false">IF(AH44="","tbc",AH44)</f>
        <v>tbc</v>
      </c>
      <c r="C44" s="49" t="str">
        <f aca="false">IF(AI44="","VNT",AI44)</f>
        <v>VNT</v>
      </c>
      <c r="D44" s="49" t="n">
        <f aca="false">MAX(X44,IF(AT44="none",X44,AT44))</f>
        <v>0</v>
      </c>
      <c r="E44" s="50" t="n">
        <f aca="false">IFERROR(DAYS360(X44,D44),0)</f>
        <v>0</v>
      </c>
      <c r="F44" s="50" t="n">
        <f aca="false">((LEN($AN44)-LEN(SUBSTITUTE($AN44,CHAR(10)&amp;". ","")))/3)+IF(LEFT(TRIM($AN44),2)=". ",1,0)</f>
        <v>0</v>
      </c>
      <c r="G44" s="50" t="n">
        <f aca="false">((LEN($AN44)-LEN(SUBSTITUTE($AN44,CHAR(10)&amp;"/ ","")))/3)+IF(LEFT(TRIM($AN44),2)="/ ",1,0)</f>
        <v>0</v>
      </c>
      <c r="H44" s="50" t="n">
        <f aca="false">((LEN($AN44)-LEN(SUBSTITUTE($AN44,CHAR(10)&amp;"~ ","")))/3)+IF(LEFT(TRIM($AN44),2)="~ ",1,0)</f>
        <v>0</v>
      </c>
      <c r="I44" s="50" t="n">
        <f aca="false">((LEN($AN44)-LEN(SUBSTITUTE($AN44,CHAR(10)&amp;"! ","")))/3)+IF(LEFT(TRIM($AN44),2)="! ",1,0)</f>
        <v>0</v>
      </c>
      <c r="J44" s="50" t="n">
        <f aca="false">((LEN($AN44)-LEN(SUBSTITUTE($AN44,CHAR(10)&amp;"x ","")))/3)+IF(LEFT(TRIM($AN44),2)="x ",1,0)</f>
        <v>0</v>
      </c>
      <c r="K44" s="50" t="n">
        <f aca="false">SUM(F44:J44)</f>
        <v>0</v>
      </c>
      <c r="L44" s="51" t="n">
        <f aca="false">YEAR(D44)</f>
        <v>1899</v>
      </c>
      <c r="M44" s="51" t="str">
        <f aca="false">VLOOKUP(MONTH(D44),Static!$AJ$3:$AK$16,2,0)</f>
        <v>Dec</v>
      </c>
      <c r="N44" s="51" t="n">
        <f aca="false">WEEKNUM(D44,1)</f>
        <v>52</v>
      </c>
      <c r="O44" s="51" t="str">
        <f aca="false">IFERROR(INDEX(Static!$I$5:$L$15,MATCH(AA44,Static!$I$5:$I$15,0),3),"Z")</f>
        <v>Z</v>
      </c>
      <c r="P44" s="51" t="str">
        <f aca="false">IFERROR(INDEX(Static!$I$5:$L$15,MATCH(AA44,Static!$I$5:$I$15,0),4),"Y")</f>
        <v>Y</v>
      </c>
      <c r="Q44" s="51" t="str">
        <f aca="false">IF(D44&gt;(($A$14-WEEKDAY($A$14,2))-7*$D$15),"Y","N")</f>
        <v>N</v>
      </c>
      <c r="R44" s="49" t="str">
        <f aca="false">IF(AB44&lt;&gt;"","Y","N")</f>
        <v>N</v>
      </c>
      <c r="S44" s="51" t="str">
        <f aca="false">IF(AND(Q44="Y",R44="N"),"Y","N")</f>
        <v>N</v>
      </c>
      <c r="T44" s="49" t="str">
        <f aca="false">IF(OR(Y44="Y",Y44="N"),Y44,IF(AND(P44="Y", OR(Q44="Y",S44="Y")),"Y","N"))</f>
        <v>N</v>
      </c>
      <c r="U44" s="51" t="str">
        <f aca="false">"Y"</f>
        <v>Y</v>
      </c>
      <c r="V44" s="53" t="str">
        <f aca="false">" -  "&amp;O44&amp;AJ44&amp;AK44&amp;AB44</f>
        <v>-  Z</v>
      </c>
      <c r="W44" s="51" t="str">
        <f aca="false">IFERROR(VLOOKUP(WEEKDAY(X44),Static!$AL$3:$AM$11,2,0),"")</f>
        <v>Sat</v>
      </c>
      <c r="X44" s="49" t="n">
        <f aca="false">IF(AD44&lt;&gt;"",AS44,0)</f>
        <v>0</v>
      </c>
      <c r="Y44" s="54"/>
      <c r="Z44" s="54"/>
      <c r="AA44" s="79"/>
      <c r="AB44" s="56"/>
      <c r="AC44" s="56"/>
      <c r="AD44" s="54"/>
      <c r="AE44" s="80"/>
      <c r="AF44" s="57"/>
      <c r="AG44" s="81" t="str">
        <f aca="false">IF(AB44="","",AE44*AF44/8)</f>
        <v/>
      </c>
      <c r="AH44" s="54"/>
      <c r="AI44" s="54"/>
      <c r="AJ44" s="54"/>
      <c r="AK44" s="82"/>
      <c r="AL44" s="56"/>
      <c r="AM44" s="56"/>
      <c r="AN44" s="58"/>
      <c r="AO44" s="51" t="n">
        <f aca="false">SUM(F44:I44)</f>
        <v>0</v>
      </c>
      <c r="AP44" s="59" t="n">
        <f aca="false">IF(AB44="",1,IF(K44&lt;&gt;0,(G44*0.5+J44)/K44,1))</f>
        <v>1</v>
      </c>
      <c r="AQ44" s="60" t="str">
        <f aca="false">IF(AM44="","",IF(ISERROR(FIND(CHAR(10),AM44,1)),AM44,LEFT(AM44,FIND(CHAR(10),AM44,1))))</f>
        <v/>
      </c>
      <c r="AR44" s="61" t="str">
        <f aca="false">IF(AM44="","",IFERROR(RIGHT(AM44,LEN(AM44)-FIND("@@@",SUBSTITUTE(AM44,CHAR(10),"@@@",LEN(AM44)-LEN(SUBSTITUTE(AM44,CHAR(10),""))),1)),AM44))</f>
        <v/>
      </c>
      <c r="AS44" s="62" t="str">
        <f aca="false">IFERROR(DATE(("20"&amp;MID(AQ44,7,2))*1,MID(AQ44,4,2)*1,MID(AQ44,1,2)*1),"")</f>
        <v/>
      </c>
      <c r="AT44" s="62" t="str">
        <f aca="false">IFERROR(DATE(("20"&amp;MID(AR44,7,2))*1,MID(AR44,4,2)*1,MID(AR44,1,2)*1),"")</f>
        <v/>
      </c>
      <c r="AU44" s="56" t="s">
        <v>450</v>
      </c>
    </row>
    <row r="45" customFormat="false" ht="12.75" hidden="false" customHeight="true" outlineLevel="0" collapsed="false">
      <c r="A45" s="63"/>
      <c r="B45" s="49" t="str">
        <f aca="false">IF(AH45="","tbc",AH45)</f>
        <v>tbc</v>
      </c>
      <c r="C45" s="49" t="str">
        <f aca="false">IF(AI45="","VNT",AI45)</f>
        <v>VNT</v>
      </c>
      <c r="D45" s="49" t="n">
        <f aca="false">MAX(X45,IF(AT45="none",X45,AT45))</f>
        <v>0</v>
      </c>
      <c r="E45" s="50" t="n">
        <f aca="false">IFERROR(DAYS360(X45,D45),0)</f>
        <v>0</v>
      </c>
      <c r="F45" s="50" t="n">
        <f aca="false">((LEN($AN45)-LEN(SUBSTITUTE($AN45,CHAR(10)&amp;". ","")))/3)+IF(LEFT(TRIM($AN45),2)=". ",1,0)</f>
        <v>0</v>
      </c>
      <c r="G45" s="50" t="n">
        <f aca="false">((LEN($AN45)-LEN(SUBSTITUTE($AN45,CHAR(10)&amp;"/ ","")))/3)+IF(LEFT(TRIM($AN45),2)="/ ",1,0)</f>
        <v>0</v>
      </c>
      <c r="H45" s="50" t="n">
        <f aca="false">((LEN($AN45)-LEN(SUBSTITUTE($AN45,CHAR(10)&amp;"~ ","")))/3)+IF(LEFT(TRIM($AN45),2)="~ ",1,0)</f>
        <v>0</v>
      </c>
      <c r="I45" s="50" t="n">
        <f aca="false">((LEN($AN45)-LEN(SUBSTITUTE($AN45,CHAR(10)&amp;"! ","")))/3)+IF(LEFT(TRIM($AN45),2)="! ",1,0)</f>
        <v>0</v>
      </c>
      <c r="J45" s="50" t="n">
        <f aca="false">((LEN($AN45)-LEN(SUBSTITUTE($AN45,CHAR(10)&amp;"x ","")))/3)+IF(LEFT(TRIM($AN45),2)="x ",1,0)</f>
        <v>0</v>
      </c>
      <c r="K45" s="50" t="n">
        <f aca="false">SUM(F45:J45)</f>
        <v>0</v>
      </c>
      <c r="L45" s="51" t="n">
        <f aca="false">YEAR(D45)</f>
        <v>1899</v>
      </c>
      <c r="M45" s="51" t="str">
        <f aca="false">VLOOKUP(MONTH(D45),Static!$AJ$3:$AK$16,2,0)</f>
        <v>Dec</v>
      </c>
      <c r="N45" s="51" t="n">
        <f aca="false">WEEKNUM(D45,1)</f>
        <v>52</v>
      </c>
      <c r="O45" s="51" t="str">
        <f aca="false">IFERROR(INDEX(Static!$I$5:$L$15,MATCH(AA45,Static!$I$5:$I$15,0),3),"Z")</f>
        <v>Z</v>
      </c>
      <c r="P45" s="51" t="str">
        <f aca="false">IFERROR(INDEX(Static!$I$5:$L$15,MATCH(AA45,Static!$I$5:$I$15,0),4),"Y")</f>
        <v>Y</v>
      </c>
      <c r="Q45" s="51" t="str">
        <f aca="false">IF(D45&gt;(($A$14-WEEKDAY($A$14,2))-7*$D$15),"Y","N")</f>
        <v>N</v>
      </c>
      <c r="R45" s="49" t="str">
        <f aca="false">IF(AB45&lt;&gt;"","Y","N")</f>
        <v>N</v>
      </c>
      <c r="S45" s="51" t="str">
        <f aca="false">IF(AND(Q45="Y",R45="N"),"Y","N")</f>
        <v>N</v>
      </c>
      <c r="T45" s="49" t="str">
        <f aca="false">IF(OR(Y45="Y",Y45="N"),Y45,IF(AND(P45="Y", OR(Q45="Y",S45="Y")),"Y","N"))</f>
        <v>N</v>
      </c>
      <c r="U45" s="51" t="str">
        <f aca="false">"Y"</f>
        <v>Y</v>
      </c>
      <c r="V45" s="53" t="str">
        <f aca="false">" -  "&amp;O45&amp;AJ45&amp;AK45&amp;AB45</f>
        <v>-  Z</v>
      </c>
      <c r="W45" s="51" t="str">
        <f aca="false">IFERROR(VLOOKUP(WEEKDAY(X45),Static!$AL$3:$AM$11,2,0),"")</f>
        <v>Sat</v>
      </c>
      <c r="X45" s="49" t="n">
        <f aca="false">IF(AD45&lt;&gt;"",AS45,0)</f>
        <v>0</v>
      </c>
      <c r="Y45" s="54"/>
      <c r="Z45" s="54"/>
      <c r="AA45" s="79"/>
      <c r="AB45" s="56"/>
      <c r="AC45" s="58"/>
      <c r="AD45" s="54"/>
      <c r="AE45" s="80"/>
      <c r="AF45" s="57"/>
      <c r="AG45" s="81" t="str">
        <f aca="false">IF(AB45="","",AE45*AF45/8)</f>
        <v/>
      </c>
      <c r="AH45" s="54"/>
      <c r="AI45" s="54"/>
      <c r="AJ45" s="54"/>
      <c r="AK45" s="82"/>
      <c r="AL45" s="58"/>
      <c r="AM45" s="56"/>
      <c r="AN45" s="58"/>
      <c r="AO45" s="51" t="n">
        <f aca="false">SUM(F45:I45)</f>
        <v>0</v>
      </c>
      <c r="AP45" s="59" t="n">
        <f aca="false">IF(AB45="",1,IF(K45&lt;&gt;0,(G45*0.5+J45)/K45,1))</f>
        <v>1</v>
      </c>
      <c r="AQ45" s="60" t="str">
        <f aca="false">IF(AM45="","",IF(ISERROR(FIND(CHAR(10),AM45,1)),AM45,LEFT(AM45,FIND(CHAR(10),AM45,1))))</f>
        <v/>
      </c>
      <c r="AR45" s="61" t="str">
        <f aca="false">IF(AM45="","",IFERROR(RIGHT(AM45,LEN(AM45)-FIND("@@@",SUBSTITUTE(AM45,CHAR(10),"@@@",LEN(AM45)-LEN(SUBSTITUTE(AM45,CHAR(10),""))),1)),AM45))</f>
        <v/>
      </c>
      <c r="AS45" s="62" t="str">
        <f aca="false">IFERROR(DATE(("20"&amp;MID(AQ45,7,2))*1,MID(AQ45,4,2)*1,MID(AQ45,1,2)*1),"")</f>
        <v/>
      </c>
      <c r="AT45" s="62" t="str">
        <f aca="false">IFERROR(DATE(("20"&amp;MID(AR45,7,2))*1,MID(AR45,4,2)*1,MID(AR45,1,2)*1),"")</f>
        <v/>
      </c>
      <c r="AU45" s="56" t="s">
        <v>450</v>
      </c>
    </row>
    <row r="46" customFormat="false" ht="12.75" hidden="false" customHeight="true" outlineLevel="0" collapsed="false">
      <c r="A46" s="63"/>
      <c r="B46" s="49" t="str">
        <f aca="false">IF(AH46="","tbc",AH46)</f>
        <v>tbc</v>
      </c>
      <c r="C46" s="49" t="str">
        <f aca="false">IF(AI46="","VNT",AI46)</f>
        <v>VNT</v>
      </c>
      <c r="D46" s="49" t="n">
        <f aca="false">MAX(X46,IF(AT46="none",X46,AT46))</f>
        <v>0</v>
      </c>
      <c r="E46" s="50" t="n">
        <f aca="false">IFERROR(DAYS360(X46,D46),0)</f>
        <v>0</v>
      </c>
      <c r="F46" s="50" t="n">
        <f aca="false">((LEN($AN46)-LEN(SUBSTITUTE($AN46,CHAR(10)&amp;". ","")))/3)+IF(LEFT(TRIM($AN46),2)=". ",1,0)</f>
        <v>0</v>
      </c>
      <c r="G46" s="50" t="n">
        <f aca="false">((LEN($AN46)-LEN(SUBSTITUTE($AN46,CHAR(10)&amp;"/ ","")))/3)+IF(LEFT(TRIM($AN46),2)="/ ",1,0)</f>
        <v>0</v>
      </c>
      <c r="H46" s="50" t="n">
        <f aca="false">((LEN($AN46)-LEN(SUBSTITUTE($AN46,CHAR(10)&amp;"~ ","")))/3)+IF(LEFT(TRIM($AN46),2)="~ ",1,0)</f>
        <v>0</v>
      </c>
      <c r="I46" s="50" t="n">
        <f aca="false">((LEN($AN46)-LEN(SUBSTITUTE($AN46,CHAR(10)&amp;"! ","")))/3)+IF(LEFT(TRIM($AN46),2)="! ",1,0)</f>
        <v>0</v>
      </c>
      <c r="J46" s="50" t="n">
        <f aca="false">((LEN($AN46)-LEN(SUBSTITUTE($AN46,CHAR(10)&amp;"x ","")))/3)+IF(LEFT(TRIM($AN46),2)="x ",1,0)</f>
        <v>0</v>
      </c>
      <c r="K46" s="50" t="n">
        <f aca="false">SUM(F46:J46)</f>
        <v>0</v>
      </c>
      <c r="L46" s="51" t="n">
        <f aca="false">YEAR(D46)</f>
        <v>1899</v>
      </c>
      <c r="M46" s="51" t="str">
        <f aca="false">VLOOKUP(MONTH(D46),Static!$AJ$3:$AK$16,2,0)</f>
        <v>Dec</v>
      </c>
      <c r="N46" s="51" t="n">
        <f aca="false">WEEKNUM(D46,1)</f>
        <v>52</v>
      </c>
      <c r="O46" s="51" t="str">
        <f aca="false">IFERROR(INDEX(Static!$I$5:$L$15,MATCH(AA46,Static!$I$5:$I$15,0),3),"Z")</f>
        <v>Z</v>
      </c>
      <c r="P46" s="51" t="str">
        <f aca="false">IFERROR(INDEX(Static!$I$5:$L$15,MATCH(AA46,Static!$I$5:$I$15,0),4),"Y")</f>
        <v>Y</v>
      </c>
      <c r="Q46" s="51" t="str">
        <f aca="false">IF(D46&gt;(($A$14-WEEKDAY($A$14,2))-7*$D$15),"Y","N")</f>
        <v>N</v>
      </c>
      <c r="R46" s="49" t="str">
        <f aca="false">IF(AB46&lt;&gt;"","Y","N")</f>
        <v>N</v>
      </c>
      <c r="S46" s="51" t="str">
        <f aca="false">IF(AND(Q46="Y",R46="N"),"Y","N")</f>
        <v>N</v>
      </c>
      <c r="T46" s="49" t="str">
        <f aca="false">IF(OR(Y46="Y",Y46="N"),Y46,IF(AND(P46="Y", OR(Q46="Y",S46="Y")),"Y","N"))</f>
        <v>N</v>
      </c>
      <c r="U46" s="51" t="str">
        <f aca="false">"Y"</f>
        <v>Y</v>
      </c>
      <c r="V46" s="53" t="str">
        <f aca="false">" -  "&amp;O46&amp;AJ46&amp;AK46&amp;AB46</f>
        <v>-  Z</v>
      </c>
      <c r="W46" s="51" t="str">
        <f aca="false">IFERROR(VLOOKUP(WEEKDAY(X46),Static!$AL$3:$AM$11,2,0),"")</f>
        <v>Sat</v>
      </c>
      <c r="X46" s="49" t="n">
        <f aca="false">IF(AD46&lt;&gt;"",AS46,0)</f>
        <v>0</v>
      </c>
      <c r="Y46" s="54"/>
      <c r="Z46" s="54"/>
      <c r="AA46" s="79"/>
      <c r="AB46" s="56"/>
      <c r="AC46" s="58"/>
      <c r="AD46" s="54"/>
      <c r="AE46" s="80"/>
      <c r="AF46" s="57"/>
      <c r="AG46" s="81" t="str">
        <f aca="false">IF(AB46="","",AE46*AF46/8)</f>
        <v/>
      </c>
      <c r="AH46" s="54"/>
      <c r="AI46" s="54"/>
      <c r="AJ46" s="54"/>
      <c r="AK46" s="82"/>
      <c r="AL46" s="58"/>
      <c r="AM46" s="56"/>
      <c r="AN46" s="58"/>
      <c r="AO46" s="51" t="n">
        <f aca="false">SUM(F46:I46)</f>
        <v>0</v>
      </c>
      <c r="AP46" s="59" t="n">
        <f aca="false">IF(AB46="",1,IF(K46&lt;&gt;0,(G46*0.5+J46)/K46,1))</f>
        <v>1</v>
      </c>
      <c r="AQ46" s="60" t="str">
        <f aca="false">IF(AM46="","",IF(ISERROR(FIND(CHAR(10),AM46,1)),AM46,LEFT(AM46,FIND(CHAR(10),AM46,1))))</f>
        <v/>
      </c>
      <c r="AR46" s="61" t="str">
        <f aca="false">IF(AM46="","",IFERROR(RIGHT(AM46,LEN(AM46)-FIND("@@@",SUBSTITUTE(AM46,CHAR(10),"@@@",LEN(AM46)-LEN(SUBSTITUTE(AM46,CHAR(10),""))),1)),AM46))</f>
        <v/>
      </c>
      <c r="AS46" s="62" t="str">
        <f aca="false">IFERROR(DATE(("20"&amp;MID(AQ46,7,2))*1,MID(AQ46,4,2)*1,MID(AQ46,1,2)*1),"")</f>
        <v/>
      </c>
      <c r="AT46" s="62" t="str">
        <f aca="false">IFERROR(DATE(("20"&amp;MID(AR46,7,2))*1,MID(AR46,4,2)*1,MID(AR46,1,2)*1),"")</f>
        <v/>
      </c>
      <c r="AU46" s="56" t="s">
        <v>450</v>
      </c>
    </row>
    <row r="47" customFormat="false" ht="12.75" hidden="false" customHeight="true" outlineLevel="0" collapsed="false">
      <c r="A47" s="63"/>
      <c r="B47" s="49" t="str">
        <f aca="false">IF(AH47="","tbc",AH47)</f>
        <v>tbc</v>
      </c>
      <c r="C47" s="49" t="str">
        <f aca="false">IF(AI47="","VNT",AI47)</f>
        <v>VNT</v>
      </c>
      <c r="D47" s="49" t="n">
        <f aca="false">MAX(X47,IF(AT47="none",X47,AT47))</f>
        <v>0</v>
      </c>
      <c r="E47" s="50" t="n">
        <f aca="false">IFERROR(DAYS360(X47,D47),0)</f>
        <v>0</v>
      </c>
      <c r="F47" s="50" t="n">
        <f aca="false">((LEN($AN47)-LEN(SUBSTITUTE($AN47,CHAR(10)&amp;". ","")))/3)+IF(LEFT(TRIM($AN47),2)=". ",1,0)</f>
        <v>0</v>
      </c>
      <c r="G47" s="50" t="n">
        <f aca="false">((LEN($AN47)-LEN(SUBSTITUTE($AN47,CHAR(10)&amp;"/ ","")))/3)+IF(LEFT(TRIM($AN47),2)="/ ",1,0)</f>
        <v>0</v>
      </c>
      <c r="H47" s="50" t="n">
        <f aca="false">((LEN($AN47)-LEN(SUBSTITUTE($AN47,CHAR(10)&amp;"~ ","")))/3)+IF(LEFT(TRIM($AN47),2)="~ ",1,0)</f>
        <v>0</v>
      </c>
      <c r="I47" s="50" t="n">
        <f aca="false">((LEN($AN47)-LEN(SUBSTITUTE($AN47,CHAR(10)&amp;"! ","")))/3)+IF(LEFT(TRIM($AN47),2)="! ",1,0)</f>
        <v>0</v>
      </c>
      <c r="J47" s="50" t="n">
        <f aca="false">((LEN($AN47)-LEN(SUBSTITUTE($AN47,CHAR(10)&amp;"x ","")))/3)+IF(LEFT(TRIM($AN47),2)="x ",1,0)</f>
        <v>0</v>
      </c>
      <c r="K47" s="50" t="n">
        <f aca="false">SUM(F47:J47)</f>
        <v>0</v>
      </c>
      <c r="L47" s="51" t="n">
        <f aca="false">YEAR(D47)</f>
        <v>1899</v>
      </c>
      <c r="M47" s="51" t="str">
        <f aca="false">VLOOKUP(MONTH(D47),Static!$AJ$3:$AK$16,2,0)</f>
        <v>Dec</v>
      </c>
      <c r="N47" s="51" t="n">
        <f aca="false">WEEKNUM(D47,1)</f>
        <v>52</v>
      </c>
      <c r="O47" s="51" t="str">
        <f aca="false">IFERROR(INDEX(Static!$I$5:$L$15,MATCH(AA47,Static!$I$5:$I$15,0),3),"Z")</f>
        <v>Z</v>
      </c>
      <c r="P47" s="51" t="str">
        <f aca="false">IFERROR(INDEX(Static!$I$5:$L$15,MATCH(AA47,Static!$I$5:$I$15,0),4),"Y")</f>
        <v>Y</v>
      </c>
      <c r="Q47" s="51" t="str">
        <f aca="false">IF(D47&gt;(($A$14-WEEKDAY($A$14,2))-7*$D$15),"Y","N")</f>
        <v>N</v>
      </c>
      <c r="R47" s="49" t="str">
        <f aca="false">IF(AB47&lt;&gt;"","Y","N")</f>
        <v>N</v>
      </c>
      <c r="S47" s="51" t="str">
        <f aca="false">IF(AND(Q47="Y",R47="N"),"Y","N")</f>
        <v>N</v>
      </c>
      <c r="T47" s="49" t="str">
        <f aca="false">IF(OR(Y47="Y",Y47="N"),Y47,IF(AND(P47="Y", OR(Q47="Y",S47="Y")),"Y","N"))</f>
        <v>N</v>
      </c>
      <c r="U47" s="51" t="str">
        <f aca="false">"Y"</f>
        <v>Y</v>
      </c>
      <c r="V47" s="53" t="str">
        <f aca="false">" -  "&amp;O47&amp;AJ47&amp;AK47&amp;AB47</f>
        <v>-  Z</v>
      </c>
      <c r="W47" s="51" t="str">
        <f aca="false">IFERROR(VLOOKUP(WEEKDAY(X47),Static!$AL$3:$AM$11,2,0),"")</f>
        <v>Sat</v>
      </c>
      <c r="X47" s="49" t="n">
        <f aca="false">IF(AD47&lt;&gt;"",AS47,0)</f>
        <v>0</v>
      </c>
      <c r="Y47" s="54"/>
      <c r="Z47" s="54"/>
      <c r="AA47" s="79"/>
      <c r="AB47" s="56"/>
      <c r="AC47" s="58"/>
      <c r="AD47" s="54"/>
      <c r="AE47" s="80"/>
      <c r="AF47" s="57"/>
      <c r="AG47" s="81" t="str">
        <f aca="false">IF(AB47="","",AE47*AF47/8)</f>
        <v/>
      </c>
      <c r="AH47" s="54"/>
      <c r="AI47" s="54"/>
      <c r="AJ47" s="54"/>
      <c r="AK47" s="82"/>
      <c r="AL47" s="58"/>
      <c r="AM47" s="56"/>
      <c r="AN47" s="58"/>
      <c r="AO47" s="51" t="n">
        <f aca="false">SUM(F47:I47)</f>
        <v>0</v>
      </c>
      <c r="AP47" s="59" t="n">
        <f aca="false">IF(AB47="",1,IF(K47&lt;&gt;0,(G47*0.5+J47)/K47,1))</f>
        <v>1</v>
      </c>
      <c r="AQ47" s="60" t="str">
        <f aca="false">IF(AM47="","",IF(ISERROR(FIND(CHAR(10),AM47,1)),AM47,LEFT(AM47,FIND(CHAR(10),AM47,1))))</f>
        <v/>
      </c>
      <c r="AR47" s="61" t="str">
        <f aca="false">IF(AM47="","",IFERROR(RIGHT(AM47,LEN(AM47)-FIND("@@@",SUBSTITUTE(AM47,CHAR(10),"@@@",LEN(AM47)-LEN(SUBSTITUTE(AM47,CHAR(10),""))),1)),AM47))</f>
        <v/>
      </c>
      <c r="AS47" s="62" t="str">
        <f aca="false">IFERROR(DATE(("20"&amp;MID(AQ47,7,2))*1,MID(AQ47,4,2)*1,MID(AQ47,1,2)*1),"")</f>
        <v/>
      </c>
      <c r="AT47" s="62" t="str">
        <f aca="false">IFERROR(DATE(("20"&amp;MID(AR47,7,2))*1,MID(AR47,4,2)*1,MID(AR47,1,2)*1),"")</f>
        <v/>
      </c>
      <c r="AU47" s="56" t="s">
        <v>450</v>
      </c>
    </row>
    <row r="48" customFormat="false" ht="12.75" hidden="false" customHeight="true" outlineLevel="0" collapsed="false">
      <c r="A48" s="63"/>
      <c r="B48" s="49" t="str">
        <f aca="false">IF(AH48="","tbc",AH48)</f>
        <v>tbc</v>
      </c>
      <c r="C48" s="49" t="str">
        <f aca="false">IF(AI48="","VNT",AI48)</f>
        <v>VNT</v>
      </c>
      <c r="D48" s="49" t="n">
        <f aca="false">MAX(X48,IF(AT48="none",X48,AT48))</f>
        <v>0</v>
      </c>
      <c r="E48" s="50" t="n">
        <f aca="false">IFERROR(DAYS360(X48,D48),0)</f>
        <v>0</v>
      </c>
      <c r="F48" s="50" t="n">
        <f aca="false">((LEN($AN48)-LEN(SUBSTITUTE($AN48,CHAR(10)&amp;". ","")))/3)+IF(LEFT(TRIM($AN48),2)=". ",1,0)</f>
        <v>0</v>
      </c>
      <c r="G48" s="50" t="n">
        <f aca="false">((LEN($AN48)-LEN(SUBSTITUTE($AN48,CHAR(10)&amp;"/ ","")))/3)+IF(LEFT(TRIM($AN48),2)="/ ",1,0)</f>
        <v>0</v>
      </c>
      <c r="H48" s="50" t="n">
        <f aca="false">((LEN($AN48)-LEN(SUBSTITUTE($AN48,CHAR(10)&amp;"~ ","")))/3)+IF(LEFT(TRIM($AN48),2)="~ ",1,0)</f>
        <v>0</v>
      </c>
      <c r="I48" s="50" t="n">
        <f aca="false">((LEN($AN48)-LEN(SUBSTITUTE($AN48,CHAR(10)&amp;"! ","")))/3)+IF(LEFT(TRIM($AN48),2)="! ",1,0)</f>
        <v>0</v>
      </c>
      <c r="J48" s="50" t="n">
        <f aca="false">((LEN($AN48)-LEN(SUBSTITUTE($AN48,CHAR(10)&amp;"x ","")))/3)+IF(LEFT(TRIM($AN48),2)="x ",1,0)</f>
        <v>0</v>
      </c>
      <c r="K48" s="50" t="n">
        <f aca="false">SUM(F48:J48)</f>
        <v>0</v>
      </c>
      <c r="L48" s="51" t="n">
        <f aca="false">YEAR(D48)</f>
        <v>1899</v>
      </c>
      <c r="M48" s="51" t="str">
        <f aca="false">VLOOKUP(MONTH(D48),Static!$AJ$3:$AK$16,2,0)</f>
        <v>Dec</v>
      </c>
      <c r="N48" s="51" t="n">
        <f aca="false">WEEKNUM(D48,1)</f>
        <v>52</v>
      </c>
      <c r="O48" s="51" t="str">
        <f aca="false">IFERROR(INDEX(Static!$I$5:$L$15,MATCH(AA48,Static!$I$5:$I$15,0),3),"Z")</f>
        <v>Z</v>
      </c>
      <c r="P48" s="51" t="str">
        <f aca="false">IFERROR(INDEX(Static!$I$5:$L$15,MATCH(AA48,Static!$I$5:$I$15,0),4),"Y")</f>
        <v>Y</v>
      </c>
      <c r="Q48" s="51" t="str">
        <f aca="false">IF(D48&gt;(($A$14-WEEKDAY($A$14,2))-7*$D$15),"Y","N")</f>
        <v>N</v>
      </c>
      <c r="R48" s="49" t="str">
        <f aca="false">IF(AB48&lt;&gt;"","Y","N")</f>
        <v>N</v>
      </c>
      <c r="S48" s="51" t="str">
        <f aca="false">IF(AND(Q48="Y",R48="N"),"Y","N")</f>
        <v>N</v>
      </c>
      <c r="T48" s="49" t="str">
        <f aca="false">IF(OR(Y48="Y",Y48="N"),Y48,IF(AND(P48="Y", OR(Q48="Y",S48="Y")),"Y","N"))</f>
        <v>N</v>
      </c>
      <c r="U48" s="51" t="str">
        <f aca="false">"Y"</f>
        <v>Y</v>
      </c>
      <c r="V48" s="53" t="str">
        <f aca="false">" -  "&amp;O48&amp;AJ48&amp;AK48&amp;AB48</f>
        <v>-  Z</v>
      </c>
      <c r="W48" s="51" t="str">
        <f aca="false">IFERROR(VLOOKUP(WEEKDAY(X48),Static!$AL$3:$AM$11,2,0),"")</f>
        <v>Sat</v>
      </c>
      <c r="X48" s="49" t="n">
        <f aca="false">IF(AD48&lt;&gt;"",AS48,0)</f>
        <v>0</v>
      </c>
      <c r="Y48" s="54"/>
      <c r="Z48" s="54"/>
      <c r="AA48" s="79"/>
      <c r="AB48" s="56"/>
      <c r="AC48" s="58"/>
      <c r="AD48" s="54"/>
      <c r="AE48" s="80"/>
      <c r="AF48" s="57"/>
      <c r="AG48" s="81" t="str">
        <f aca="false">IF(AB48="","",AE48*AF48/8)</f>
        <v/>
      </c>
      <c r="AH48" s="54"/>
      <c r="AI48" s="54"/>
      <c r="AJ48" s="54"/>
      <c r="AK48" s="82"/>
      <c r="AL48" s="58"/>
      <c r="AM48" s="56"/>
      <c r="AN48" s="58"/>
      <c r="AO48" s="51" t="n">
        <f aca="false">SUM(F48:I48)</f>
        <v>0</v>
      </c>
      <c r="AP48" s="59" t="n">
        <f aca="false">IF(AB48="",1,IF(K48&lt;&gt;0,(G48*0.5+J48)/K48,1))</f>
        <v>1</v>
      </c>
      <c r="AQ48" s="60" t="str">
        <f aca="false">IF(AM48="","",IF(ISERROR(FIND(CHAR(10),AM48,1)),AM48,LEFT(AM48,FIND(CHAR(10),AM48,1))))</f>
        <v/>
      </c>
      <c r="AR48" s="61" t="str">
        <f aca="false">IF(AM48="","",IFERROR(RIGHT(AM48,LEN(AM48)-FIND("@@@",SUBSTITUTE(AM48,CHAR(10),"@@@",LEN(AM48)-LEN(SUBSTITUTE(AM48,CHAR(10),""))),1)),AM48))</f>
        <v/>
      </c>
      <c r="AS48" s="62" t="str">
        <f aca="false">IFERROR(DATE(("20"&amp;MID(AQ48,7,2))*1,MID(AQ48,4,2)*1,MID(AQ48,1,2)*1),"")</f>
        <v/>
      </c>
      <c r="AT48" s="62" t="str">
        <f aca="false">IFERROR(DATE(("20"&amp;MID(AR48,7,2))*1,MID(AR48,4,2)*1,MID(AR48,1,2)*1),"")</f>
        <v/>
      </c>
      <c r="AU48" s="56" t="s">
        <v>450</v>
      </c>
    </row>
    <row r="49" customFormat="false" ht="12.75" hidden="false" customHeight="true" outlineLevel="0" collapsed="false">
      <c r="A49" s="63"/>
      <c r="B49" s="49" t="str">
        <f aca="false">IF(AH49="","tbc",AH49)</f>
        <v>tbc</v>
      </c>
      <c r="C49" s="49" t="str">
        <f aca="false">IF(AI49="","VNT",AI49)</f>
        <v>VNT</v>
      </c>
      <c r="D49" s="49" t="n">
        <f aca="false">MAX(X49,IF(AT49="none",X49,AT49))</f>
        <v>0</v>
      </c>
      <c r="E49" s="50" t="n">
        <f aca="false">IFERROR(DAYS360(X49,D49),0)</f>
        <v>0</v>
      </c>
      <c r="F49" s="50" t="n">
        <f aca="false">((LEN($AN49)-LEN(SUBSTITUTE($AN49,CHAR(10)&amp;". ","")))/3)+IF(LEFT(TRIM($AN49),2)=". ",1,0)</f>
        <v>0</v>
      </c>
      <c r="G49" s="50" t="n">
        <f aca="false">((LEN($AN49)-LEN(SUBSTITUTE($AN49,CHAR(10)&amp;"/ ","")))/3)+IF(LEFT(TRIM($AN49),2)="/ ",1,0)</f>
        <v>0</v>
      </c>
      <c r="H49" s="50" t="n">
        <f aca="false">((LEN($AN49)-LEN(SUBSTITUTE($AN49,CHAR(10)&amp;"~ ","")))/3)+IF(LEFT(TRIM($AN49),2)="~ ",1,0)</f>
        <v>0</v>
      </c>
      <c r="I49" s="50" t="n">
        <f aca="false">((LEN($AN49)-LEN(SUBSTITUTE($AN49,CHAR(10)&amp;"! ","")))/3)+IF(LEFT(TRIM($AN49),2)="! ",1,0)</f>
        <v>0</v>
      </c>
      <c r="J49" s="50" t="n">
        <f aca="false">((LEN($AN49)-LEN(SUBSTITUTE($AN49,CHAR(10)&amp;"x ","")))/3)+IF(LEFT(TRIM($AN49),2)="x ",1,0)</f>
        <v>0</v>
      </c>
      <c r="K49" s="50" t="n">
        <f aca="false">SUM(F49:J49)</f>
        <v>0</v>
      </c>
      <c r="L49" s="51" t="n">
        <f aca="false">YEAR(D49)</f>
        <v>1899</v>
      </c>
      <c r="M49" s="51" t="str">
        <f aca="false">VLOOKUP(MONTH(D49),Static!$AJ$3:$AK$16,2,0)</f>
        <v>Dec</v>
      </c>
      <c r="N49" s="51" t="n">
        <f aca="false">WEEKNUM(D49,1)</f>
        <v>52</v>
      </c>
      <c r="O49" s="51" t="str">
        <f aca="false">IFERROR(INDEX(Static!$I$5:$L$15,MATCH(AA49,Static!$I$5:$I$15,0),3),"Z")</f>
        <v>Z</v>
      </c>
      <c r="P49" s="51" t="str">
        <f aca="false">IFERROR(INDEX(Static!$I$5:$L$15,MATCH(AA49,Static!$I$5:$I$15,0),4),"Y")</f>
        <v>Y</v>
      </c>
      <c r="Q49" s="51" t="str">
        <f aca="false">IF(D49&gt;(($A$14-WEEKDAY($A$14,2))-7*$D$15),"Y","N")</f>
        <v>N</v>
      </c>
      <c r="R49" s="49" t="str">
        <f aca="false">IF(AB49&lt;&gt;"","Y","N")</f>
        <v>N</v>
      </c>
      <c r="S49" s="51" t="str">
        <f aca="false">IF(AND(Q49="Y",R49="N"),"Y","N")</f>
        <v>N</v>
      </c>
      <c r="T49" s="49" t="str">
        <f aca="false">IF(OR(Y49="Y",Y49="N"),Y49,IF(AND(P49="Y", OR(Q49="Y",S49="Y")),"Y","N"))</f>
        <v>N</v>
      </c>
      <c r="U49" s="51" t="str">
        <f aca="false">"Y"</f>
        <v>Y</v>
      </c>
      <c r="V49" s="53" t="str">
        <f aca="false">" -  "&amp;O49&amp;AJ49&amp;AK49&amp;AB49</f>
        <v>-  Z</v>
      </c>
      <c r="W49" s="51" t="str">
        <f aca="false">IFERROR(VLOOKUP(WEEKDAY(X49),Static!$AL$3:$AM$11,2,0),"")</f>
        <v>Sat</v>
      </c>
      <c r="X49" s="49" t="n">
        <f aca="false">IF(AD49&lt;&gt;"",AS49,0)</f>
        <v>0</v>
      </c>
      <c r="Y49" s="54"/>
      <c r="Z49" s="54"/>
      <c r="AA49" s="79"/>
      <c r="AB49" s="56"/>
      <c r="AC49" s="58"/>
      <c r="AD49" s="54"/>
      <c r="AE49" s="80"/>
      <c r="AF49" s="57"/>
      <c r="AG49" s="81" t="str">
        <f aca="false">IF(AB49="","",AE49*AF49/8)</f>
        <v/>
      </c>
      <c r="AH49" s="54"/>
      <c r="AI49" s="54"/>
      <c r="AJ49" s="54"/>
      <c r="AK49" s="82"/>
      <c r="AL49" s="58"/>
      <c r="AM49" s="56"/>
      <c r="AN49" s="58"/>
      <c r="AO49" s="51" t="n">
        <f aca="false">SUM(F49:I49)</f>
        <v>0</v>
      </c>
      <c r="AP49" s="59" t="n">
        <f aca="false">IF(AB49="",1,IF(K49&lt;&gt;0,(G49*0.5+J49)/K49,1))</f>
        <v>1</v>
      </c>
      <c r="AQ49" s="60" t="str">
        <f aca="false">IF(AM49="","",IF(ISERROR(FIND(CHAR(10),AM49,1)),AM49,LEFT(AM49,FIND(CHAR(10),AM49,1))))</f>
        <v/>
      </c>
      <c r="AR49" s="61" t="str">
        <f aca="false">IF(AM49="","",IFERROR(RIGHT(AM49,LEN(AM49)-FIND("@@@",SUBSTITUTE(AM49,CHAR(10),"@@@",LEN(AM49)-LEN(SUBSTITUTE(AM49,CHAR(10),""))),1)),AM49))</f>
        <v/>
      </c>
      <c r="AS49" s="62" t="str">
        <f aca="false">IFERROR(DATE(("20"&amp;MID(AQ49,7,2))*1,MID(AQ49,4,2)*1,MID(AQ49,1,2)*1),"")</f>
        <v/>
      </c>
      <c r="AT49" s="62" t="str">
        <f aca="false">IFERROR(DATE(("20"&amp;MID(AR49,7,2))*1,MID(AR49,4,2)*1,MID(AR49,1,2)*1),"")</f>
        <v/>
      </c>
      <c r="AU49" s="56" t="s">
        <v>450</v>
      </c>
    </row>
    <row r="50" customFormat="false" ht="12.75" hidden="false" customHeight="true" outlineLevel="0" collapsed="false">
      <c r="A50" s="63"/>
      <c r="B50" s="49" t="str">
        <f aca="false">IF(AH50="","tbc",AH50)</f>
        <v>tbc</v>
      </c>
      <c r="C50" s="49" t="str">
        <f aca="false">IF(AI50="","VNT",AI50)</f>
        <v>VNT</v>
      </c>
      <c r="D50" s="49" t="n">
        <f aca="false">MAX(X50,IF(AT50="none",X50,AT50))</f>
        <v>0</v>
      </c>
      <c r="E50" s="50" t="n">
        <f aca="false">IFERROR(DAYS360(X50,D50),0)</f>
        <v>0</v>
      </c>
      <c r="F50" s="50" t="n">
        <f aca="false">((LEN($AN50)-LEN(SUBSTITUTE($AN50,CHAR(10)&amp;". ","")))/3)+IF(LEFT(TRIM($AN50),2)=". ",1,0)</f>
        <v>0</v>
      </c>
      <c r="G50" s="50" t="n">
        <f aca="false">((LEN($AN50)-LEN(SUBSTITUTE($AN50,CHAR(10)&amp;"/ ","")))/3)+IF(LEFT(TRIM($AN50),2)="/ ",1,0)</f>
        <v>0</v>
      </c>
      <c r="H50" s="50" t="n">
        <f aca="false">((LEN($AN50)-LEN(SUBSTITUTE($AN50,CHAR(10)&amp;"~ ","")))/3)+IF(LEFT(TRIM($AN50),2)="~ ",1,0)</f>
        <v>0</v>
      </c>
      <c r="I50" s="50" t="n">
        <f aca="false">((LEN($AN50)-LEN(SUBSTITUTE($AN50,CHAR(10)&amp;"! ","")))/3)+IF(LEFT(TRIM($AN50),2)="! ",1,0)</f>
        <v>0</v>
      </c>
      <c r="J50" s="50" t="n">
        <f aca="false">((LEN($AN50)-LEN(SUBSTITUTE($AN50,CHAR(10)&amp;"x ","")))/3)+IF(LEFT(TRIM($AN50),2)="x ",1,0)</f>
        <v>0</v>
      </c>
      <c r="K50" s="50" t="n">
        <f aca="false">SUM(F50:J50)</f>
        <v>0</v>
      </c>
      <c r="L50" s="51" t="n">
        <f aca="false">YEAR(D50)</f>
        <v>1899</v>
      </c>
      <c r="M50" s="51" t="str">
        <f aca="false">VLOOKUP(MONTH(D50),Static!$AJ$3:$AK$16,2,0)</f>
        <v>Dec</v>
      </c>
      <c r="N50" s="51" t="n">
        <f aca="false">WEEKNUM(D50,1)</f>
        <v>52</v>
      </c>
      <c r="O50" s="51" t="str">
        <f aca="false">IFERROR(INDEX(Static!$I$5:$L$15,MATCH(AA50,Static!$I$5:$I$15,0),3),"Z")</f>
        <v>Z</v>
      </c>
      <c r="P50" s="51" t="str">
        <f aca="false">IFERROR(INDEX(Static!$I$5:$L$15,MATCH(AA50,Static!$I$5:$I$15,0),4),"Y")</f>
        <v>Y</v>
      </c>
      <c r="Q50" s="51" t="str">
        <f aca="false">IF(D50&gt;(($A$14-WEEKDAY($A$14,2))-7*$D$15),"Y","N")</f>
        <v>N</v>
      </c>
      <c r="R50" s="49" t="str">
        <f aca="false">IF(AB50&lt;&gt;"","Y","N")</f>
        <v>N</v>
      </c>
      <c r="S50" s="51" t="str">
        <f aca="false">IF(AND(Q50="Y",R50="N"),"Y","N")</f>
        <v>N</v>
      </c>
      <c r="T50" s="49" t="str">
        <f aca="false">IF(OR(Y50="Y",Y50="N"),Y50,IF(AND(P50="Y", OR(Q50="Y",S50="Y")),"Y","N"))</f>
        <v>N</v>
      </c>
      <c r="U50" s="51" t="str">
        <f aca="false">"Y"</f>
        <v>Y</v>
      </c>
      <c r="V50" s="53" t="str">
        <f aca="false">" -  "&amp;O50&amp;AJ50&amp;AK50&amp;AB50</f>
        <v>-  Z</v>
      </c>
      <c r="W50" s="51" t="str">
        <f aca="false">IFERROR(VLOOKUP(WEEKDAY(X50),Static!$AL$3:$AM$11,2,0),"")</f>
        <v>Sat</v>
      </c>
      <c r="X50" s="49" t="n">
        <f aca="false">IF(AD50&lt;&gt;"",AS50,0)</f>
        <v>0</v>
      </c>
      <c r="Y50" s="54"/>
      <c r="Z50" s="54"/>
      <c r="AA50" s="79"/>
      <c r="AB50" s="56"/>
      <c r="AC50" s="58"/>
      <c r="AD50" s="54"/>
      <c r="AE50" s="80"/>
      <c r="AF50" s="57"/>
      <c r="AG50" s="81" t="str">
        <f aca="false">IF(AB50="","",AE50*AF50/8)</f>
        <v/>
      </c>
      <c r="AH50" s="54"/>
      <c r="AI50" s="54"/>
      <c r="AJ50" s="54"/>
      <c r="AK50" s="82"/>
      <c r="AL50" s="58"/>
      <c r="AM50" s="56"/>
      <c r="AN50" s="58"/>
      <c r="AO50" s="51" t="n">
        <f aca="false">SUM(F50:I50)</f>
        <v>0</v>
      </c>
      <c r="AP50" s="59" t="n">
        <f aca="false">IF(AB50="",1,IF(K50&lt;&gt;0,(G50*0.5+J50)/K50,1))</f>
        <v>1</v>
      </c>
      <c r="AQ50" s="60" t="str">
        <f aca="false">IF(AM50="","",IF(ISERROR(FIND(CHAR(10),AM50,1)),AM50,LEFT(AM50,FIND(CHAR(10),AM50,1))))</f>
        <v/>
      </c>
      <c r="AR50" s="61" t="str">
        <f aca="false">IF(AM50="","",IFERROR(RIGHT(AM50,LEN(AM50)-FIND("@@@",SUBSTITUTE(AM50,CHAR(10),"@@@",LEN(AM50)-LEN(SUBSTITUTE(AM50,CHAR(10),""))),1)),AM50))</f>
        <v/>
      </c>
      <c r="AS50" s="62" t="str">
        <f aca="false">IFERROR(DATE(("20"&amp;MID(AQ50,7,2))*1,MID(AQ50,4,2)*1,MID(AQ50,1,2)*1),"")</f>
        <v/>
      </c>
      <c r="AT50" s="62" t="str">
        <f aca="false">IFERROR(DATE(("20"&amp;MID(AR50,7,2))*1,MID(AR50,4,2)*1,MID(AR50,1,2)*1),"")</f>
        <v/>
      </c>
      <c r="AU50" s="56" t="s">
        <v>450</v>
      </c>
    </row>
    <row r="51" customFormat="false" ht="12.75" hidden="false" customHeight="true" outlineLevel="0" collapsed="false">
      <c r="A51" s="63"/>
      <c r="B51" s="49" t="str">
        <f aca="false">IF(AH51="","tbc",AH51)</f>
        <v>tbc</v>
      </c>
      <c r="C51" s="49" t="str">
        <f aca="false">IF(AI51="","VNT",AI51)</f>
        <v>VNT</v>
      </c>
      <c r="D51" s="49" t="n">
        <f aca="false">MAX(X51,IF(AT51="none",X51,AT51))</f>
        <v>0</v>
      </c>
      <c r="E51" s="50" t="n">
        <f aca="false">IFERROR(DAYS360(X51,D51),0)</f>
        <v>0</v>
      </c>
      <c r="F51" s="50" t="n">
        <f aca="false">((LEN($AN51)-LEN(SUBSTITUTE($AN51,CHAR(10)&amp;". ","")))/3)+IF(LEFT(TRIM($AN51),2)=". ",1,0)</f>
        <v>0</v>
      </c>
      <c r="G51" s="50" t="n">
        <f aca="false">((LEN($AN51)-LEN(SUBSTITUTE($AN51,CHAR(10)&amp;"/ ","")))/3)+IF(LEFT(TRIM($AN51),2)="/ ",1,0)</f>
        <v>0</v>
      </c>
      <c r="H51" s="50" t="n">
        <f aca="false">((LEN($AN51)-LEN(SUBSTITUTE($AN51,CHAR(10)&amp;"~ ","")))/3)+IF(LEFT(TRIM($AN51),2)="~ ",1,0)</f>
        <v>0</v>
      </c>
      <c r="I51" s="50" t="n">
        <f aca="false">((LEN($AN51)-LEN(SUBSTITUTE($AN51,CHAR(10)&amp;"! ","")))/3)+IF(LEFT(TRIM($AN51),2)="! ",1,0)</f>
        <v>0</v>
      </c>
      <c r="J51" s="50" t="n">
        <f aca="false">((LEN($AN51)-LEN(SUBSTITUTE($AN51,CHAR(10)&amp;"x ","")))/3)+IF(LEFT(TRIM($AN51),2)="x ",1,0)</f>
        <v>0</v>
      </c>
      <c r="K51" s="50" t="n">
        <f aca="false">SUM(F51:J51)</f>
        <v>0</v>
      </c>
      <c r="L51" s="51" t="n">
        <f aca="false">YEAR(D51)</f>
        <v>1899</v>
      </c>
      <c r="M51" s="51" t="str">
        <f aca="false">VLOOKUP(MONTH(D51),Static!$AJ$3:$AK$16,2,0)</f>
        <v>Dec</v>
      </c>
      <c r="N51" s="51" t="n">
        <f aca="false">WEEKNUM(D51,1)</f>
        <v>52</v>
      </c>
      <c r="O51" s="51" t="str">
        <f aca="false">IFERROR(INDEX(Static!$I$5:$L$15,MATCH(AA51,Static!$I$5:$I$15,0),3),"Z")</f>
        <v>Z</v>
      </c>
      <c r="P51" s="51" t="str">
        <f aca="false">IFERROR(INDEX(Static!$I$5:$L$15,MATCH(AA51,Static!$I$5:$I$15,0),4),"Y")</f>
        <v>Y</v>
      </c>
      <c r="Q51" s="51" t="str">
        <f aca="false">IF(D51&gt;(($A$14-WEEKDAY($A$14,2))-7*$D$15),"Y","N")</f>
        <v>N</v>
      </c>
      <c r="R51" s="49" t="str">
        <f aca="false">IF(AB51&lt;&gt;"","Y","N")</f>
        <v>N</v>
      </c>
      <c r="S51" s="51" t="str">
        <f aca="false">IF(AND(Q51="Y",R51="N"),"Y","N")</f>
        <v>N</v>
      </c>
      <c r="T51" s="49" t="str">
        <f aca="false">IF(OR(Y51="Y",Y51="N"),Y51,IF(AND(P51="Y", OR(Q51="Y",S51="Y")),"Y","N"))</f>
        <v>N</v>
      </c>
      <c r="U51" s="51" t="str">
        <f aca="false">"Y"</f>
        <v>Y</v>
      </c>
      <c r="V51" s="53" t="str">
        <f aca="false">" -  "&amp;O51&amp;AJ51&amp;AK51&amp;AB51</f>
        <v>-  Z</v>
      </c>
      <c r="W51" s="51" t="str">
        <f aca="false">IFERROR(VLOOKUP(WEEKDAY(X51),Static!$AL$3:$AM$11,2,0),"")</f>
        <v>Sat</v>
      </c>
      <c r="X51" s="49" t="n">
        <f aca="false">IF(AD51&lt;&gt;"",AS51,0)</f>
        <v>0</v>
      </c>
      <c r="Y51" s="54"/>
      <c r="Z51" s="54"/>
      <c r="AA51" s="79"/>
      <c r="AB51" s="56"/>
      <c r="AC51" s="58"/>
      <c r="AD51" s="54"/>
      <c r="AE51" s="80"/>
      <c r="AF51" s="57"/>
      <c r="AG51" s="81" t="str">
        <f aca="false">IF(AB51="","",AE51*AF51/8)</f>
        <v/>
      </c>
      <c r="AH51" s="54"/>
      <c r="AI51" s="54"/>
      <c r="AJ51" s="54"/>
      <c r="AK51" s="82"/>
      <c r="AL51" s="58"/>
      <c r="AM51" s="56"/>
      <c r="AN51" s="58"/>
      <c r="AO51" s="51" t="n">
        <f aca="false">SUM(F51:I51)</f>
        <v>0</v>
      </c>
      <c r="AP51" s="59" t="n">
        <f aca="false">IF(AB51="",1,IF(K51&lt;&gt;0,(G51*0.5+J51)/K51,1))</f>
        <v>1</v>
      </c>
      <c r="AQ51" s="60" t="str">
        <f aca="false">IF(AM51="","",IF(ISERROR(FIND(CHAR(10),AM51,1)),AM51,LEFT(AM51,FIND(CHAR(10),AM51,1))))</f>
        <v/>
      </c>
      <c r="AR51" s="61" t="str">
        <f aca="false">IF(AM51="","",IFERROR(RIGHT(AM51,LEN(AM51)-FIND("@@@",SUBSTITUTE(AM51,CHAR(10),"@@@",LEN(AM51)-LEN(SUBSTITUTE(AM51,CHAR(10),""))),1)),AM51))</f>
        <v/>
      </c>
      <c r="AS51" s="62" t="str">
        <f aca="false">IFERROR(DATE(("20"&amp;MID(AQ51,7,2))*1,MID(AQ51,4,2)*1,MID(AQ51,1,2)*1),"")</f>
        <v/>
      </c>
      <c r="AT51" s="62" t="str">
        <f aca="false">IFERROR(DATE(("20"&amp;MID(AR51,7,2))*1,MID(AR51,4,2)*1,MID(AR51,1,2)*1),"")</f>
        <v/>
      </c>
      <c r="AU51" s="56" t="s">
        <v>450</v>
      </c>
    </row>
    <row r="52" customFormat="false" ht="12.75" hidden="false" customHeight="true" outlineLevel="0" collapsed="false">
      <c r="A52" s="63"/>
      <c r="B52" s="49" t="str">
        <f aca="false">IF(AH52="","tbc",AH52)</f>
        <v>tbc</v>
      </c>
      <c r="C52" s="49" t="str">
        <f aca="false">IF(AI52="","VNT",AI52)</f>
        <v>VNT</v>
      </c>
      <c r="D52" s="49" t="n">
        <f aca="false">MAX(X52,IF(AT52="none",X52,AT52))</f>
        <v>0</v>
      </c>
      <c r="E52" s="50" t="n">
        <f aca="false">IFERROR(DAYS360(X52,D52),0)</f>
        <v>0</v>
      </c>
      <c r="F52" s="50" t="n">
        <f aca="false">((LEN($AN52)-LEN(SUBSTITUTE($AN52,CHAR(10)&amp;". ","")))/3)+IF(LEFT(TRIM($AN52),2)=". ",1,0)</f>
        <v>0</v>
      </c>
      <c r="G52" s="50" t="n">
        <f aca="false">((LEN($AN52)-LEN(SUBSTITUTE($AN52,CHAR(10)&amp;"/ ","")))/3)+IF(LEFT(TRIM($AN52),2)="/ ",1,0)</f>
        <v>0</v>
      </c>
      <c r="H52" s="50" t="n">
        <f aca="false">((LEN($AN52)-LEN(SUBSTITUTE($AN52,CHAR(10)&amp;"~ ","")))/3)+IF(LEFT(TRIM($AN52),2)="~ ",1,0)</f>
        <v>0</v>
      </c>
      <c r="I52" s="50" t="n">
        <f aca="false">((LEN($AN52)-LEN(SUBSTITUTE($AN52,CHAR(10)&amp;"! ","")))/3)+IF(LEFT(TRIM($AN52),2)="! ",1,0)</f>
        <v>0</v>
      </c>
      <c r="J52" s="50" t="n">
        <f aca="false">((LEN($AN52)-LEN(SUBSTITUTE($AN52,CHAR(10)&amp;"x ","")))/3)+IF(LEFT(TRIM($AN52),2)="x ",1,0)</f>
        <v>0</v>
      </c>
      <c r="K52" s="50" t="n">
        <f aca="false">SUM(F52:J52)</f>
        <v>0</v>
      </c>
      <c r="L52" s="51" t="n">
        <f aca="false">YEAR(D52)</f>
        <v>1899</v>
      </c>
      <c r="M52" s="51" t="str">
        <f aca="false">VLOOKUP(MONTH(D52),Static!$AJ$3:$AK$16,2,0)</f>
        <v>Dec</v>
      </c>
      <c r="N52" s="51" t="n">
        <f aca="false">WEEKNUM(D52,1)</f>
        <v>52</v>
      </c>
      <c r="O52" s="51" t="str">
        <f aca="false">IFERROR(INDEX(Static!$I$5:$L$15,MATCH(AA52,Static!$I$5:$I$15,0),3),"Z")</f>
        <v>Z</v>
      </c>
      <c r="P52" s="51" t="str">
        <f aca="false">IFERROR(INDEX(Static!$I$5:$L$15,MATCH(AA52,Static!$I$5:$I$15,0),4),"Y")</f>
        <v>Y</v>
      </c>
      <c r="Q52" s="51" t="str">
        <f aca="false">IF(D52&gt;(($A$14-WEEKDAY($A$14,2))-7*$D$15),"Y","N")</f>
        <v>N</v>
      </c>
      <c r="R52" s="49" t="str">
        <f aca="false">IF(AB52&lt;&gt;"","Y","N")</f>
        <v>N</v>
      </c>
      <c r="S52" s="51" t="str">
        <f aca="false">IF(AND(Q52="Y",R52="N"),"Y","N")</f>
        <v>N</v>
      </c>
      <c r="T52" s="49" t="str">
        <f aca="false">IF(OR(Y52="Y",Y52="N"),Y52,IF(AND(P52="Y", OR(Q52="Y",S52="Y")),"Y","N"))</f>
        <v>N</v>
      </c>
      <c r="U52" s="51" t="str">
        <f aca="false">"Y"</f>
        <v>Y</v>
      </c>
      <c r="V52" s="53" t="str">
        <f aca="false">" -  "&amp;O52&amp;AJ52&amp;AK52&amp;AB52</f>
        <v>-  Z</v>
      </c>
      <c r="W52" s="51" t="str">
        <f aca="false">IFERROR(VLOOKUP(WEEKDAY(X52),Static!$AL$3:$AM$11,2,0),"")</f>
        <v>Sat</v>
      </c>
      <c r="X52" s="49" t="n">
        <f aca="false">IF(AD52&lt;&gt;"",AS52,0)</f>
        <v>0</v>
      </c>
      <c r="Y52" s="54"/>
      <c r="Z52" s="54"/>
      <c r="AA52" s="79"/>
      <c r="AB52" s="56"/>
      <c r="AC52" s="58"/>
      <c r="AD52" s="54"/>
      <c r="AE52" s="80"/>
      <c r="AF52" s="57"/>
      <c r="AG52" s="81" t="str">
        <f aca="false">IF(AB52="","",AE52*AF52/8)</f>
        <v/>
      </c>
      <c r="AH52" s="54"/>
      <c r="AI52" s="54"/>
      <c r="AJ52" s="54"/>
      <c r="AK52" s="82"/>
      <c r="AL52" s="58"/>
      <c r="AM52" s="56"/>
      <c r="AN52" s="58"/>
      <c r="AO52" s="51" t="n">
        <f aca="false">SUM(F52:I52)</f>
        <v>0</v>
      </c>
      <c r="AP52" s="59" t="n">
        <f aca="false">IF(AB52="",1,IF(K52&lt;&gt;0,(G52*0.5+J52)/K52,1))</f>
        <v>1</v>
      </c>
      <c r="AQ52" s="60" t="str">
        <f aca="false">IF(AM52="","",IF(ISERROR(FIND(CHAR(10),AM52,1)),AM52,LEFT(AM52,FIND(CHAR(10),AM52,1))))</f>
        <v/>
      </c>
      <c r="AR52" s="61" t="str">
        <f aca="false">IF(AM52="","",IFERROR(RIGHT(AM52,LEN(AM52)-FIND("@@@",SUBSTITUTE(AM52,CHAR(10),"@@@",LEN(AM52)-LEN(SUBSTITUTE(AM52,CHAR(10),""))),1)),AM52))</f>
        <v/>
      </c>
      <c r="AS52" s="62" t="str">
        <f aca="false">IFERROR(DATE(("20"&amp;MID(AQ52,7,2))*1,MID(AQ52,4,2)*1,MID(AQ52,1,2)*1),"")</f>
        <v/>
      </c>
      <c r="AT52" s="62" t="str">
        <f aca="false">IFERROR(DATE(("20"&amp;MID(AR52,7,2))*1,MID(AR52,4,2)*1,MID(AR52,1,2)*1),"")</f>
        <v/>
      </c>
      <c r="AU52" s="56" t="s">
        <v>450</v>
      </c>
    </row>
    <row r="53" customFormat="false" ht="12.75" hidden="false" customHeight="true" outlineLevel="0" collapsed="false">
      <c r="A53" s="63"/>
      <c r="B53" s="49" t="str">
        <f aca="false">IF(AH53="","tbc",AH53)</f>
        <v>tbc</v>
      </c>
      <c r="C53" s="49" t="str">
        <f aca="false">IF(AI53="","VNT",AI53)</f>
        <v>VNT</v>
      </c>
      <c r="D53" s="49" t="n">
        <f aca="false">MAX(X53,IF(AT53="none",X53,AT53))</f>
        <v>0</v>
      </c>
      <c r="E53" s="50" t="n">
        <f aca="false">IFERROR(DAYS360(X53,D53),0)</f>
        <v>0</v>
      </c>
      <c r="F53" s="50" t="n">
        <f aca="false">((LEN($AN53)-LEN(SUBSTITUTE($AN53,CHAR(10)&amp;". ","")))/3)+IF(LEFT(TRIM($AN53),2)=". ",1,0)</f>
        <v>0</v>
      </c>
      <c r="G53" s="50" t="n">
        <f aca="false">((LEN($AN53)-LEN(SUBSTITUTE($AN53,CHAR(10)&amp;"/ ","")))/3)+IF(LEFT(TRIM($AN53),2)="/ ",1,0)</f>
        <v>0</v>
      </c>
      <c r="H53" s="50" t="n">
        <f aca="false">((LEN($AN53)-LEN(SUBSTITUTE($AN53,CHAR(10)&amp;"~ ","")))/3)+IF(LEFT(TRIM($AN53),2)="~ ",1,0)</f>
        <v>0</v>
      </c>
      <c r="I53" s="50" t="n">
        <f aca="false">((LEN($AN53)-LEN(SUBSTITUTE($AN53,CHAR(10)&amp;"! ","")))/3)+IF(LEFT(TRIM($AN53),2)="! ",1,0)</f>
        <v>0</v>
      </c>
      <c r="J53" s="50" t="n">
        <f aca="false">((LEN($AN53)-LEN(SUBSTITUTE($AN53,CHAR(10)&amp;"x ","")))/3)+IF(LEFT(TRIM($AN53),2)="x ",1,0)</f>
        <v>0</v>
      </c>
      <c r="K53" s="50" t="n">
        <f aca="false">SUM(F53:J53)</f>
        <v>0</v>
      </c>
      <c r="L53" s="51" t="n">
        <f aca="false">YEAR(D53)</f>
        <v>1899</v>
      </c>
      <c r="M53" s="51" t="str">
        <f aca="false">VLOOKUP(MONTH(D53),Static!$AJ$3:$AK$16,2,0)</f>
        <v>Dec</v>
      </c>
      <c r="N53" s="51" t="n">
        <f aca="false">WEEKNUM(D53,1)</f>
        <v>52</v>
      </c>
      <c r="O53" s="51" t="str">
        <f aca="false">IFERROR(INDEX(Static!$I$5:$L$15,MATCH(AA53,Static!$I$5:$I$15,0),3),"Z")</f>
        <v>Z</v>
      </c>
      <c r="P53" s="51" t="str">
        <f aca="false">IFERROR(INDEX(Static!$I$5:$L$15,MATCH(AA53,Static!$I$5:$I$15,0),4),"Y")</f>
        <v>Y</v>
      </c>
      <c r="Q53" s="51" t="str">
        <f aca="false">IF(D53&gt;(($A$14-WEEKDAY($A$14,2))-7*$D$15),"Y","N")</f>
        <v>N</v>
      </c>
      <c r="R53" s="49" t="str">
        <f aca="false">IF(AB53&lt;&gt;"","Y","N")</f>
        <v>N</v>
      </c>
      <c r="S53" s="51" t="str">
        <f aca="false">IF(AND(Q53="Y",R53="N"),"Y","N")</f>
        <v>N</v>
      </c>
      <c r="T53" s="49" t="str">
        <f aca="false">IF(OR(Y53="Y",Y53="N"),Y53,IF(AND(P53="Y", OR(Q53="Y",S53="Y")),"Y","N"))</f>
        <v>N</v>
      </c>
      <c r="U53" s="51" t="str">
        <f aca="false">"Y"</f>
        <v>Y</v>
      </c>
      <c r="V53" s="53" t="str">
        <f aca="false">" -  "&amp;O53&amp;AJ53&amp;AK53&amp;AB53</f>
        <v>-  Z</v>
      </c>
      <c r="W53" s="51" t="str">
        <f aca="false">IFERROR(VLOOKUP(WEEKDAY(X53),Static!$AL$3:$AM$11,2,0),"")</f>
        <v>Sat</v>
      </c>
      <c r="X53" s="49" t="n">
        <f aca="false">IF(AD53&lt;&gt;"",AS53,0)</f>
        <v>0</v>
      </c>
      <c r="Y53" s="54"/>
      <c r="Z53" s="54"/>
      <c r="AA53" s="79"/>
      <c r="AB53" s="56"/>
      <c r="AC53" s="58"/>
      <c r="AD53" s="54"/>
      <c r="AE53" s="80"/>
      <c r="AF53" s="57"/>
      <c r="AG53" s="81" t="str">
        <f aca="false">IF(AB53="","",AE53*AF53/8)</f>
        <v/>
      </c>
      <c r="AH53" s="54"/>
      <c r="AI53" s="54"/>
      <c r="AJ53" s="54"/>
      <c r="AK53" s="82"/>
      <c r="AL53" s="58"/>
      <c r="AM53" s="56"/>
      <c r="AN53" s="58"/>
      <c r="AO53" s="51" t="n">
        <f aca="false">SUM(F53:I53)</f>
        <v>0</v>
      </c>
      <c r="AP53" s="59" t="n">
        <f aca="false">IF(AB53="",1,IF(K53&lt;&gt;0,(G53*0.5+J53)/K53,1))</f>
        <v>1</v>
      </c>
      <c r="AQ53" s="60" t="str">
        <f aca="false">IF(AM53="","",IF(ISERROR(FIND(CHAR(10),AM53,1)),AM53,LEFT(AM53,FIND(CHAR(10),AM53,1))))</f>
        <v/>
      </c>
      <c r="AR53" s="61" t="str">
        <f aca="false">IF(AM53="","",IFERROR(RIGHT(AM53,LEN(AM53)-FIND("@@@",SUBSTITUTE(AM53,CHAR(10),"@@@",LEN(AM53)-LEN(SUBSTITUTE(AM53,CHAR(10),""))),1)),AM53))</f>
        <v/>
      </c>
      <c r="AS53" s="62" t="str">
        <f aca="false">IFERROR(DATE(("20"&amp;MID(AQ53,7,2))*1,MID(AQ53,4,2)*1,MID(AQ53,1,2)*1),"")</f>
        <v/>
      </c>
      <c r="AT53" s="62" t="str">
        <f aca="false">IFERROR(DATE(("20"&amp;MID(AR53,7,2))*1,MID(AR53,4,2)*1,MID(AR53,1,2)*1),"")</f>
        <v/>
      </c>
      <c r="AU53" s="56" t="s">
        <v>450</v>
      </c>
    </row>
    <row r="54" customFormat="false" ht="12.75" hidden="false" customHeight="true" outlineLevel="0" collapsed="false">
      <c r="A54" s="63"/>
      <c r="B54" s="49" t="str">
        <f aca="false">IF(AH54="","tbc",AH54)</f>
        <v>tbc</v>
      </c>
      <c r="C54" s="49" t="str">
        <f aca="false">IF(AI54="","VNT",AI54)</f>
        <v>VNT</v>
      </c>
      <c r="D54" s="49" t="n">
        <f aca="false">MAX(X54,IF(AT54="none",X54,AT54))</f>
        <v>0</v>
      </c>
      <c r="E54" s="50" t="n">
        <f aca="false">IFERROR(DAYS360(X54,D54),0)</f>
        <v>0</v>
      </c>
      <c r="F54" s="50" t="n">
        <f aca="false">((LEN($AN54)-LEN(SUBSTITUTE($AN54,CHAR(10)&amp;". ","")))/3)+IF(LEFT(TRIM($AN54),2)=". ",1,0)</f>
        <v>0</v>
      </c>
      <c r="G54" s="50" t="n">
        <f aca="false">((LEN($AN54)-LEN(SUBSTITUTE($AN54,CHAR(10)&amp;"/ ","")))/3)+IF(LEFT(TRIM($AN54),2)="/ ",1,0)</f>
        <v>0</v>
      </c>
      <c r="H54" s="50" t="n">
        <f aca="false">((LEN($AN54)-LEN(SUBSTITUTE($AN54,CHAR(10)&amp;"~ ","")))/3)+IF(LEFT(TRIM($AN54),2)="~ ",1,0)</f>
        <v>0</v>
      </c>
      <c r="I54" s="50" t="n">
        <f aca="false">((LEN($AN54)-LEN(SUBSTITUTE($AN54,CHAR(10)&amp;"! ","")))/3)+IF(LEFT(TRIM($AN54),2)="! ",1,0)</f>
        <v>0</v>
      </c>
      <c r="J54" s="50" t="n">
        <f aca="false">((LEN($AN54)-LEN(SUBSTITUTE($AN54,CHAR(10)&amp;"x ","")))/3)+IF(LEFT(TRIM($AN54),2)="x ",1,0)</f>
        <v>0</v>
      </c>
      <c r="K54" s="50" t="n">
        <f aca="false">SUM(F54:J54)</f>
        <v>0</v>
      </c>
      <c r="L54" s="51" t="n">
        <f aca="false">YEAR(D54)</f>
        <v>1899</v>
      </c>
      <c r="M54" s="51" t="str">
        <f aca="false">VLOOKUP(MONTH(D54),Static!$AJ$3:$AK$16,2,0)</f>
        <v>Dec</v>
      </c>
      <c r="N54" s="51" t="n">
        <f aca="false">WEEKNUM(D54,1)</f>
        <v>52</v>
      </c>
      <c r="O54" s="51" t="str">
        <f aca="false">IFERROR(INDEX(Static!$I$5:$L$15,MATCH(AA54,Static!$I$5:$I$15,0),3),"Z")</f>
        <v>Z</v>
      </c>
      <c r="P54" s="51" t="str">
        <f aca="false">IFERROR(INDEX(Static!$I$5:$L$15,MATCH(AA54,Static!$I$5:$I$15,0),4),"Y")</f>
        <v>Y</v>
      </c>
      <c r="Q54" s="51" t="str">
        <f aca="false">IF(D54&gt;(($A$14-WEEKDAY($A$14,2))-7*$D$15),"Y","N")</f>
        <v>N</v>
      </c>
      <c r="R54" s="49" t="str">
        <f aca="false">IF(AB54&lt;&gt;"","Y","N")</f>
        <v>N</v>
      </c>
      <c r="S54" s="51" t="str">
        <f aca="false">IF(AND(Q54="Y",R54="N"),"Y","N")</f>
        <v>N</v>
      </c>
      <c r="T54" s="49" t="str">
        <f aca="false">IF(OR(Y54="Y",Y54="N"),Y54,IF(AND(P54="Y", OR(Q54="Y",S54="Y")),"Y","N"))</f>
        <v>N</v>
      </c>
      <c r="U54" s="51" t="str">
        <f aca="false">"Y"</f>
        <v>Y</v>
      </c>
      <c r="V54" s="53" t="str">
        <f aca="false">" -  "&amp;O54&amp;AJ54&amp;AK54&amp;AB54</f>
        <v>-  Z</v>
      </c>
      <c r="W54" s="51" t="str">
        <f aca="false">IFERROR(VLOOKUP(WEEKDAY(X54),Static!$AL$3:$AM$11,2,0),"")</f>
        <v>Sat</v>
      </c>
      <c r="X54" s="49" t="n">
        <f aca="false">IF(AD54&lt;&gt;"",AS54,0)</f>
        <v>0</v>
      </c>
      <c r="Y54" s="54"/>
      <c r="Z54" s="54"/>
      <c r="AA54" s="79"/>
      <c r="AB54" s="56"/>
      <c r="AC54" s="58"/>
      <c r="AD54" s="54"/>
      <c r="AE54" s="80"/>
      <c r="AF54" s="57"/>
      <c r="AG54" s="81" t="str">
        <f aca="false">IF(AB54="","",AE54*AF54/8)</f>
        <v/>
      </c>
      <c r="AH54" s="54"/>
      <c r="AI54" s="54"/>
      <c r="AJ54" s="54"/>
      <c r="AK54" s="82"/>
      <c r="AL54" s="58"/>
      <c r="AM54" s="56"/>
      <c r="AN54" s="58"/>
      <c r="AO54" s="51" t="n">
        <f aca="false">SUM(F54:I54)</f>
        <v>0</v>
      </c>
      <c r="AP54" s="59" t="n">
        <f aca="false">IF(AB54="",1,IF(K54&lt;&gt;0,(G54*0.5+J54)/K54,1))</f>
        <v>1</v>
      </c>
      <c r="AQ54" s="60" t="str">
        <f aca="false">IF(AM54="","",IF(ISERROR(FIND(CHAR(10),AM54,1)),AM54,LEFT(AM54,FIND(CHAR(10),AM54,1))))</f>
        <v/>
      </c>
      <c r="AR54" s="61" t="str">
        <f aca="false">IF(AM54="","",IFERROR(RIGHT(AM54,LEN(AM54)-FIND("@@@",SUBSTITUTE(AM54,CHAR(10),"@@@",LEN(AM54)-LEN(SUBSTITUTE(AM54,CHAR(10),""))),1)),AM54))</f>
        <v/>
      </c>
      <c r="AS54" s="62" t="str">
        <f aca="false">IFERROR(DATE(("20"&amp;MID(AQ54,7,2))*1,MID(AQ54,4,2)*1,MID(AQ54,1,2)*1),"")</f>
        <v/>
      </c>
      <c r="AT54" s="62" t="str">
        <f aca="false">IFERROR(DATE(("20"&amp;MID(AR54,7,2))*1,MID(AR54,4,2)*1,MID(AR54,1,2)*1),"")</f>
        <v/>
      </c>
      <c r="AU54" s="56" t="s">
        <v>450</v>
      </c>
    </row>
    <row r="55" customFormat="false" ht="12.75" hidden="false" customHeight="true" outlineLevel="0" collapsed="false">
      <c r="A55" s="63"/>
      <c r="B55" s="49" t="str">
        <f aca="false">IF(AH55="","tbc",AH55)</f>
        <v>tbc</v>
      </c>
      <c r="C55" s="49" t="str">
        <f aca="false">IF(AI55="","VNT",AI55)</f>
        <v>VNT</v>
      </c>
      <c r="D55" s="49" t="n">
        <f aca="false">MAX(X55,IF(AT55="none",X55,AT55))</f>
        <v>0</v>
      </c>
      <c r="E55" s="50" t="n">
        <f aca="false">IFERROR(DAYS360(X55,D55),0)</f>
        <v>0</v>
      </c>
      <c r="F55" s="50" t="n">
        <f aca="false">((LEN($AN55)-LEN(SUBSTITUTE($AN55,CHAR(10)&amp;". ","")))/3)+IF(LEFT(TRIM($AN55),2)=". ",1,0)</f>
        <v>0</v>
      </c>
      <c r="G55" s="50" t="n">
        <f aca="false">((LEN($AN55)-LEN(SUBSTITUTE($AN55,CHAR(10)&amp;"/ ","")))/3)+IF(LEFT(TRIM($AN55),2)="/ ",1,0)</f>
        <v>0</v>
      </c>
      <c r="H55" s="50" t="n">
        <f aca="false">((LEN($AN55)-LEN(SUBSTITUTE($AN55,CHAR(10)&amp;"~ ","")))/3)+IF(LEFT(TRIM($AN55),2)="~ ",1,0)</f>
        <v>0</v>
      </c>
      <c r="I55" s="50" t="n">
        <f aca="false">((LEN($AN55)-LEN(SUBSTITUTE($AN55,CHAR(10)&amp;"! ","")))/3)+IF(LEFT(TRIM($AN55),2)="! ",1,0)</f>
        <v>0</v>
      </c>
      <c r="J55" s="50" t="n">
        <f aca="false">((LEN($AN55)-LEN(SUBSTITUTE($AN55,CHAR(10)&amp;"x ","")))/3)+IF(LEFT(TRIM($AN55),2)="x ",1,0)</f>
        <v>0</v>
      </c>
      <c r="K55" s="50" t="n">
        <f aca="false">SUM(F55:J55)</f>
        <v>0</v>
      </c>
      <c r="L55" s="51" t="n">
        <f aca="false">YEAR(D55)</f>
        <v>1899</v>
      </c>
      <c r="M55" s="51" t="str">
        <f aca="false">VLOOKUP(MONTH(D55),Static!$AJ$3:$AK$16,2,0)</f>
        <v>Dec</v>
      </c>
      <c r="N55" s="51" t="n">
        <f aca="false">WEEKNUM(D55,1)</f>
        <v>52</v>
      </c>
      <c r="O55" s="51" t="str">
        <f aca="false">IFERROR(INDEX(Static!$I$5:$L$15,MATCH(AA55,Static!$I$5:$I$15,0),3),"Z")</f>
        <v>Z</v>
      </c>
      <c r="P55" s="51" t="str">
        <f aca="false">IFERROR(INDEX(Static!$I$5:$L$15,MATCH(AA55,Static!$I$5:$I$15,0),4),"Y")</f>
        <v>Y</v>
      </c>
      <c r="Q55" s="51" t="str">
        <f aca="false">IF(D55&gt;(($A$14-WEEKDAY($A$14,2))-7*$D$15),"Y","N")</f>
        <v>N</v>
      </c>
      <c r="R55" s="49" t="str">
        <f aca="false">IF(AB55&lt;&gt;"","Y","N")</f>
        <v>N</v>
      </c>
      <c r="S55" s="51" t="str">
        <f aca="false">IF(AND(Q55="Y",R55="N"),"Y","N")</f>
        <v>N</v>
      </c>
      <c r="T55" s="49" t="str">
        <f aca="false">IF(OR(Y55="Y",Y55="N"),Y55,IF(AND(P55="Y", OR(Q55="Y",S55="Y")),"Y","N"))</f>
        <v>N</v>
      </c>
      <c r="U55" s="51" t="str">
        <f aca="false">"Y"</f>
        <v>Y</v>
      </c>
      <c r="V55" s="53" t="str">
        <f aca="false">" -  "&amp;O55&amp;AJ55&amp;AK55&amp;AB55</f>
        <v>-  Z</v>
      </c>
      <c r="W55" s="51" t="str">
        <f aca="false">IFERROR(VLOOKUP(WEEKDAY(X55),Static!$AL$3:$AM$11,2,0),"")</f>
        <v>Sat</v>
      </c>
      <c r="X55" s="49" t="n">
        <f aca="false">IF(AD55&lt;&gt;"",AS55,0)</f>
        <v>0</v>
      </c>
      <c r="Y55" s="54"/>
      <c r="Z55" s="54"/>
      <c r="AA55" s="79"/>
      <c r="AB55" s="56"/>
      <c r="AC55" s="58"/>
      <c r="AD55" s="54"/>
      <c r="AE55" s="80"/>
      <c r="AF55" s="57"/>
      <c r="AG55" s="81" t="str">
        <f aca="false">IF(AB55="","",AE55*AF55/8)</f>
        <v/>
      </c>
      <c r="AH55" s="54"/>
      <c r="AI55" s="54"/>
      <c r="AJ55" s="54"/>
      <c r="AK55" s="82"/>
      <c r="AL55" s="58"/>
      <c r="AM55" s="56"/>
      <c r="AN55" s="58"/>
      <c r="AO55" s="51" t="n">
        <f aca="false">SUM(F55:I55)</f>
        <v>0</v>
      </c>
      <c r="AP55" s="59" t="n">
        <f aca="false">IF(AB55="",1,IF(K55&lt;&gt;0,(G55*0.5+J55)/K55,1))</f>
        <v>1</v>
      </c>
      <c r="AQ55" s="60" t="str">
        <f aca="false">IF(AM55="","",IF(ISERROR(FIND(CHAR(10),AM55,1)),AM55,LEFT(AM55,FIND(CHAR(10),AM55,1))))</f>
        <v/>
      </c>
      <c r="AR55" s="61" t="str">
        <f aca="false">IF(AM55="","",IFERROR(RIGHT(AM55,LEN(AM55)-FIND("@@@",SUBSTITUTE(AM55,CHAR(10),"@@@",LEN(AM55)-LEN(SUBSTITUTE(AM55,CHAR(10),""))),1)),AM55))</f>
        <v/>
      </c>
      <c r="AS55" s="62" t="str">
        <f aca="false">IFERROR(DATE(("20"&amp;MID(AQ55,7,2))*1,MID(AQ55,4,2)*1,MID(AQ55,1,2)*1),"")</f>
        <v/>
      </c>
      <c r="AT55" s="62" t="str">
        <f aca="false">IFERROR(DATE(("20"&amp;MID(AR55,7,2))*1,MID(AR55,4,2)*1,MID(AR55,1,2)*1),"")</f>
        <v/>
      </c>
      <c r="AU55" s="56" t="s">
        <v>450</v>
      </c>
    </row>
    <row r="56" customFormat="false" ht="12.75" hidden="false" customHeight="true" outlineLevel="0" collapsed="false">
      <c r="A56" s="63"/>
      <c r="B56" s="49" t="str">
        <f aca="false">IF(AH56="","tbc",AH56)</f>
        <v>tbc</v>
      </c>
      <c r="C56" s="49" t="str">
        <f aca="false">IF(AI56="","VNT",AI56)</f>
        <v>VNT</v>
      </c>
      <c r="D56" s="49" t="n">
        <f aca="false">MAX(X56,IF(AT56="none",X56,AT56))</f>
        <v>0</v>
      </c>
      <c r="E56" s="50" t="n">
        <f aca="false">IFERROR(DAYS360(X56,D56),0)</f>
        <v>0</v>
      </c>
      <c r="F56" s="50" t="n">
        <f aca="false">((LEN($AN56)-LEN(SUBSTITUTE($AN56,CHAR(10)&amp;". ","")))/3)+IF(LEFT(TRIM($AN56),2)=". ",1,0)</f>
        <v>0</v>
      </c>
      <c r="G56" s="50" t="n">
        <f aca="false">((LEN($AN56)-LEN(SUBSTITUTE($AN56,CHAR(10)&amp;"/ ","")))/3)+IF(LEFT(TRIM($AN56),2)="/ ",1,0)</f>
        <v>0</v>
      </c>
      <c r="H56" s="50" t="n">
        <f aca="false">((LEN($AN56)-LEN(SUBSTITUTE($AN56,CHAR(10)&amp;"~ ","")))/3)+IF(LEFT(TRIM($AN56),2)="~ ",1,0)</f>
        <v>0</v>
      </c>
      <c r="I56" s="50" t="n">
        <f aca="false">((LEN($AN56)-LEN(SUBSTITUTE($AN56,CHAR(10)&amp;"! ","")))/3)+IF(LEFT(TRIM($AN56),2)="! ",1,0)</f>
        <v>0</v>
      </c>
      <c r="J56" s="50" t="n">
        <f aca="false">((LEN($AN56)-LEN(SUBSTITUTE($AN56,CHAR(10)&amp;"x ","")))/3)+IF(LEFT(TRIM($AN56),2)="x ",1,0)</f>
        <v>0</v>
      </c>
      <c r="K56" s="50" t="n">
        <f aca="false">SUM(F56:J56)</f>
        <v>0</v>
      </c>
      <c r="L56" s="51" t="n">
        <f aca="false">YEAR(D56)</f>
        <v>1899</v>
      </c>
      <c r="M56" s="51" t="str">
        <f aca="false">VLOOKUP(MONTH(D56),Static!$AJ$3:$AK$16,2,0)</f>
        <v>Dec</v>
      </c>
      <c r="N56" s="51" t="n">
        <f aca="false">WEEKNUM(D56,1)</f>
        <v>52</v>
      </c>
      <c r="O56" s="51" t="str">
        <f aca="false">IFERROR(INDEX(Static!$I$5:$L$15,MATCH(AA56,Static!$I$5:$I$15,0),3),"Z")</f>
        <v>Z</v>
      </c>
      <c r="P56" s="51" t="str">
        <f aca="false">IFERROR(INDEX(Static!$I$5:$L$15,MATCH(AA56,Static!$I$5:$I$15,0),4),"Y")</f>
        <v>Y</v>
      </c>
      <c r="Q56" s="51" t="str">
        <f aca="false">IF(D56&gt;(($A$14-WEEKDAY($A$14,2))-7*$D$15),"Y","N")</f>
        <v>N</v>
      </c>
      <c r="R56" s="49" t="str">
        <f aca="false">IF(AB56&lt;&gt;"","Y","N")</f>
        <v>N</v>
      </c>
      <c r="S56" s="51" t="str">
        <f aca="false">IF(AND(Q56="Y",R56="N"),"Y","N")</f>
        <v>N</v>
      </c>
      <c r="T56" s="49" t="str">
        <f aca="false">IF(OR(Y56="Y",Y56="N"),Y56,IF(AND(P56="Y", OR(Q56="Y",S56="Y")),"Y","N"))</f>
        <v>N</v>
      </c>
      <c r="U56" s="51" t="str">
        <f aca="false">"Y"</f>
        <v>Y</v>
      </c>
      <c r="V56" s="53" t="str">
        <f aca="false">" -  "&amp;O56&amp;AJ56&amp;AK56&amp;AB56</f>
        <v>-  Z</v>
      </c>
      <c r="W56" s="51" t="str">
        <f aca="false">IFERROR(VLOOKUP(WEEKDAY(X56),Static!$AL$3:$AM$11,2,0),"")</f>
        <v>Sat</v>
      </c>
      <c r="X56" s="49" t="n">
        <f aca="false">IF(AD56&lt;&gt;"",AS56,0)</f>
        <v>0</v>
      </c>
      <c r="Y56" s="54"/>
      <c r="Z56" s="54"/>
      <c r="AA56" s="79"/>
      <c r="AB56" s="56"/>
      <c r="AC56" s="58"/>
      <c r="AD56" s="54"/>
      <c r="AE56" s="80"/>
      <c r="AF56" s="57"/>
      <c r="AG56" s="81" t="str">
        <f aca="false">IF(AB56="","",AE56*AF56/8)</f>
        <v/>
      </c>
      <c r="AH56" s="54"/>
      <c r="AI56" s="54"/>
      <c r="AJ56" s="54"/>
      <c r="AK56" s="82"/>
      <c r="AL56" s="58"/>
      <c r="AM56" s="56"/>
      <c r="AN56" s="58"/>
      <c r="AO56" s="51" t="n">
        <f aca="false">SUM(F56:I56)</f>
        <v>0</v>
      </c>
      <c r="AP56" s="59" t="n">
        <f aca="false">IF(AB56="",1,IF(K56&lt;&gt;0,(G56*0.5+J56)/K56,1))</f>
        <v>1</v>
      </c>
      <c r="AQ56" s="60" t="str">
        <f aca="false">IF(AM56="","",IF(ISERROR(FIND(CHAR(10),AM56,1)),AM56,LEFT(AM56,FIND(CHAR(10),AM56,1))))</f>
        <v/>
      </c>
      <c r="AR56" s="61" t="str">
        <f aca="false">IF(AM56="","",IFERROR(RIGHT(AM56,LEN(AM56)-FIND("@@@",SUBSTITUTE(AM56,CHAR(10),"@@@",LEN(AM56)-LEN(SUBSTITUTE(AM56,CHAR(10),""))),1)),AM56))</f>
        <v/>
      </c>
      <c r="AS56" s="62" t="str">
        <f aca="false">IFERROR(DATE(("20"&amp;MID(AQ56,7,2))*1,MID(AQ56,4,2)*1,MID(AQ56,1,2)*1),"")</f>
        <v/>
      </c>
      <c r="AT56" s="62" t="str">
        <f aca="false">IFERROR(DATE(("20"&amp;MID(AR56,7,2))*1,MID(AR56,4,2)*1,MID(AR56,1,2)*1),"")</f>
        <v/>
      </c>
      <c r="AU56" s="56" t="s">
        <v>450</v>
      </c>
    </row>
    <row r="57" customFormat="false" ht="12.75" hidden="false" customHeight="true" outlineLevel="0" collapsed="false">
      <c r="A57" s="63"/>
      <c r="B57" s="49" t="str">
        <f aca="false">IF(AH57="","tbc",AH57)</f>
        <v>tbc</v>
      </c>
      <c r="C57" s="49" t="str">
        <f aca="false">IF(AI57="","VNT",AI57)</f>
        <v>VNT</v>
      </c>
      <c r="D57" s="49" t="n">
        <f aca="false">MAX(X57,IF(AT57="none",X57,AT57))</f>
        <v>0</v>
      </c>
      <c r="E57" s="50" t="n">
        <f aca="false">IFERROR(DAYS360(X57,D57),0)</f>
        <v>0</v>
      </c>
      <c r="F57" s="50" t="n">
        <f aca="false">((LEN($AN57)-LEN(SUBSTITUTE($AN57,CHAR(10)&amp;". ","")))/3)+IF(LEFT(TRIM($AN57),2)=". ",1,0)</f>
        <v>0</v>
      </c>
      <c r="G57" s="50" t="n">
        <f aca="false">((LEN($AN57)-LEN(SUBSTITUTE($AN57,CHAR(10)&amp;"/ ","")))/3)+IF(LEFT(TRIM($AN57),2)="/ ",1,0)</f>
        <v>0</v>
      </c>
      <c r="H57" s="50" t="n">
        <f aca="false">((LEN($AN57)-LEN(SUBSTITUTE($AN57,CHAR(10)&amp;"~ ","")))/3)+IF(LEFT(TRIM($AN57),2)="~ ",1,0)</f>
        <v>0</v>
      </c>
      <c r="I57" s="50" t="n">
        <f aca="false">((LEN($AN57)-LEN(SUBSTITUTE($AN57,CHAR(10)&amp;"! ","")))/3)+IF(LEFT(TRIM($AN57),2)="! ",1,0)</f>
        <v>0</v>
      </c>
      <c r="J57" s="50" t="n">
        <f aca="false">((LEN($AN57)-LEN(SUBSTITUTE($AN57,CHAR(10)&amp;"x ","")))/3)+IF(LEFT(TRIM($AN57),2)="x ",1,0)</f>
        <v>0</v>
      </c>
      <c r="K57" s="50" t="n">
        <f aca="false">SUM(F57:J57)</f>
        <v>0</v>
      </c>
      <c r="L57" s="51" t="n">
        <f aca="false">YEAR(D57)</f>
        <v>1899</v>
      </c>
      <c r="M57" s="51" t="str">
        <f aca="false">VLOOKUP(MONTH(D57),Static!$AJ$3:$AK$16,2,0)</f>
        <v>Dec</v>
      </c>
      <c r="N57" s="51" t="n">
        <f aca="false">WEEKNUM(D57,1)</f>
        <v>52</v>
      </c>
      <c r="O57" s="51" t="str">
        <f aca="false">IFERROR(INDEX(Static!$I$5:$L$15,MATCH(AA57,Static!$I$5:$I$15,0),3),"Z")</f>
        <v>Z</v>
      </c>
      <c r="P57" s="51" t="str">
        <f aca="false">IFERROR(INDEX(Static!$I$5:$L$15,MATCH(AA57,Static!$I$5:$I$15,0),4),"Y")</f>
        <v>Y</v>
      </c>
      <c r="Q57" s="51" t="str">
        <f aca="false">IF(D57&gt;(($A$14-WEEKDAY($A$14,2))-7*$D$15),"Y","N")</f>
        <v>N</v>
      </c>
      <c r="R57" s="49" t="str">
        <f aca="false">IF(AB57&lt;&gt;"","Y","N")</f>
        <v>N</v>
      </c>
      <c r="S57" s="51" t="str">
        <f aca="false">IF(AND(Q57="Y",R57="N"),"Y","N")</f>
        <v>N</v>
      </c>
      <c r="T57" s="49" t="str">
        <f aca="false">IF(OR(Y57="Y",Y57="N"),Y57,IF(AND(P57="Y", OR(Q57="Y",S57="Y")),"Y","N"))</f>
        <v>N</v>
      </c>
      <c r="U57" s="51" t="str">
        <f aca="false">"Y"</f>
        <v>Y</v>
      </c>
      <c r="V57" s="53" t="str">
        <f aca="false">" -  "&amp;O57&amp;AJ57&amp;AK57&amp;AB57</f>
        <v>-  Z</v>
      </c>
      <c r="W57" s="51" t="str">
        <f aca="false">IFERROR(VLOOKUP(WEEKDAY(X57),Static!$AL$3:$AM$11,2,0),"")</f>
        <v>Sat</v>
      </c>
      <c r="X57" s="49" t="n">
        <f aca="false">IF(AD57&lt;&gt;"",AS57,0)</f>
        <v>0</v>
      </c>
      <c r="Y57" s="54"/>
      <c r="Z57" s="54"/>
      <c r="AA57" s="79"/>
      <c r="AB57" s="56"/>
      <c r="AC57" s="58"/>
      <c r="AD57" s="54"/>
      <c r="AE57" s="80"/>
      <c r="AF57" s="57"/>
      <c r="AG57" s="81" t="str">
        <f aca="false">IF(AB57="","",AE57*AF57/8)</f>
        <v/>
      </c>
      <c r="AH57" s="54"/>
      <c r="AI57" s="54"/>
      <c r="AJ57" s="54"/>
      <c r="AK57" s="82"/>
      <c r="AL57" s="58"/>
      <c r="AM57" s="56"/>
      <c r="AN57" s="58"/>
      <c r="AO57" s="51" t="n">
        <f aca="false">SUM(F57:I57)</f>
        <v>0</v>
      </c>
      <c r="AP57" s="59" t="n">
        <f aca="false">IF(AB57="",1,IF(K57&lt;&gt;0,(G57*0.5+J57)/K57,1))</f>
        <v>1</v>
      </c>
      <c r="AQ57" s="60" t="str">
        <f aca="false">IF(AM57="","",IF(ISERROR(FIND(CHAR(10),AM57,1)),AM57,LEFT(AM57,FIND(CHAR(10),AM57,1))))</f>
        <v/>
      </c>
      <c r="AR57" s="61" t="str">
        <f aca="false">IF(AM57="","",IFERROR(RIGHT(AM57,LEN(AM57)-FIND("@@@",SUBSTITUTE(AM57,CHAR(10),"@@@",LEN(AM57)-LEN(SUBSTITUTE(AM57,CHAR(10),""))),1)),AM57))</f>
        <v/>
      </c>
      <c r="AS57" s="62" t="str">
        <f aca="false">IFERROR(DATE(("20"&amp;MID(AQ57,7,2))*1,MID(AQ57,4,2)*1,MID(AQ57,1,2)*1),"")</f>
        <v/>
      </c>
      <c r="AT57" s="62" t="str">
        <f aca="false">IFERROR(DATE(("20"&amp;MID(AR57,7,2))*1,MID(AR57,4,2)*1,MID(AR57,1,2)*1),"")</f>
        <v/>
      </c>
      <c r="AU57" s="56" t="s">
        <v>450</v>
      </c>
    </row>
    <row r="58" customFormat="false" ht="12.75" hidden="false" customHeight="true" outlineLevel="0" collapsed="false">
      <c r="A58" s="63"/>
      <c r="B58" s="49" t="str">
        <f aca="false">IF(AH58="","tbc",AH58)</f>
        <v>tbc</v>
      </c>
      <c r="C58" s="49" t="str">
        <f aca="false">IF(AI58="","VNT",AI58)</f>
        <v>VNT</v>
      </c>
      <c r="D58" s="49" t="n">
        <f aca="false">MAX(X58,IF(AT58="none",X58,AT58))</f>
        <v>0</v>
      </c>
      <c r="E58" s="50" t="n">
        <f aca="false">IFERROR(DAYS360(X58,D58),0)</f>
        <v>0</v>
      </c>
      <c r="F58" s="50" t="n">
        <f aca="false">((LEN($AN58)-LEN(SUBSTITUTE($AN58,CHAR(10)&amp;". ","")))/3)+IF(LEFT(TRIM($AN58),2)=". ",1,0)</f>
        <v>0</v>
      </c>
      <c r="G58" s="50" t="n">
        <f aca="false">((LEN($AN58)-LEN(SUBSTITUTE($AN58,CHAR(10)&amp;"/ ","")))/3)+IF(LEFT(TRIM($AN58),2)="/ ",1,0)</f>
        <v>0</v>
      </c>
      <c r="H58" s="50" t="n">
        <f aca="false">((LEN($AN58)-LEN(SUBSTITUTE($AN58,CHAR(10)&amp;"~ ","")))/3)+IF(LEFT(TRIM($AN58),2)="~ ",1,0)</f>
        <v>0</v>
      </c>
      <c r="I58" s="50" t="n">
        <f aca="false">((LEN($AN58)-LEN(SUBSTITUTE($AN58,CHAR(10)&amp;"! ","")))/3)+IF(LEFT(TRIM($AN58),2)="! ",1,0)</f>
        <v>0</v>
      </c>
      <c r="J58" s="50" t="n">
        <f aca="false">((LEN($AN58)-LEN(SUBSTITUTE($AN58,CHAR(10)&amp;"x ","")))/3)+IF(LEFT(TRIM($AN58),2)="x ",1,0)</f>
        <v>0</v>
      </c>
      <c r="K58" s="50" t="n">
        <f aca="false">SUM(F58:J58)</f>
        <v>0</v>
      </c>
      <c r="L58" s="51" t="n">
        <f aca="false">YEAR(D58)</f>
        <v>1899</v>
      </c>
      <c r="M58" s="51" t="str">
        <f aca="false">VLOOKUP(MONTH(D58),Static!$AJ$3:$AK$16,2,0)</f>
        <v>Dec</v>
      </c>
      <c r="N58" s="51" t="n">
        <f aca="false">WEEKNUM(D58,1)</f>
        <v>52</v>
      </c>
      <c r="O58" s="51" t="str">
        <f aca="false">IFERROR(INDEX(Static!$I$5:$L$15,MATCH(AA58,Static!$I$5:$I$15,0),3),"Z")</f>
        <v>Z</v>
      </c>
      <c r="P58" s="51" t="str">
        <f aca="false">IFERROR(INDEX(Static!$I$5:$L$15,MATCH(AA58,Static!$I$5:$I$15,0),4),"Y")</f>
        <v>Y</v>
      </c>
      <c r="Q58" s="51" t="str">
        <f aca="false">IF(D58&gt;(($A$14-WEEKDAY($A$14,2))-7*$D$15),"Y","N")</f>
        <v>N</v>
      </c>
      <c r="R58" s="49" t="str">
        <f aca="false">IF(AB58&lt;&gt;"","Y","N")</f>
        <v>N</v>
      </c>
      <c r="S58" s="51" t="str">
        <f aca="false">IF(AND(Q58="Y",R58="N"),"Y","N")</f>
        <v>N</v>
      </c>
      <c r="T58" s="49" t="str">
        <f aca="false">IF(OR(Y58="Y",Y58="N"),Y58,IF(AND(P58="Y", OR(Q58="Y",S58="Y")),"Y","N"))</f>
        <v>N</v>
      </c>
      <c r="U58" s="51" t="str">
        <f aca="false">"Y"</f>
        <v>Y</v>
      </c>
      <c r="V58" s="53" t="str">
        <f aca="false">" -  "&amp;O58&amp;AJ58&amp;AK58&amp;AB58</f>
        <v>-  Z</v>
      </c>
      <c r="W58" s="51" t="str">
        <f aca="false">IFERROR(VLOOKUP(WEEKDAY(X58),Static!$AL$3:$AM$11,2,0),"")</f>
        <v>Sat</v>
      </c>
      <c r="X58" s="49" t="n">
        <f aca="false">IF(AD58&lt;&gt;"",AS58,0)</f>
        <v>0</v>
      </c>
      <c r="Y58" s="54"/>
      <c r="Z58" s="54"/>
      <c r="AA58" s="79"/>
      <c r="AB58" s="56"/>
      <c r="AC58" s="58"/>
      <c r="AD58" s="54"/>
      <c r="AE58" s="80"/>
      <c r="AF58" s="57"/>
      <c r="AG58" s="81" t="str">
        <f aca="false">IF(AB58="","",AE58*AF58/8)</f>
        <v/>
      </c>
      <c r="AH58" s="54"/>
      <c r="AI58" s="54"/>
      <c r="AJ58" s="54"/>
      <c r="AK58" s="82"/>
      <c r="AL58" s="58"/>
      <c r="AM58" s="56"/>
      <c r="AN58" s="58"/>
      <c r="AO58" s="51" t="n">
        <f aca="false">SUM(F58:I58)</f>
        <v>0</v>
      </c>
      <c r="AP58" s="59" t="n">
        <f aca="false">IF(AB58="",1,IF(K58&lt;&gt;0,(G58*0.5+J58)/K58,1))</f>
        <v>1</v>
      </c>
      <c r="AQ58" s="60" t="str">
        <f aca="false">IF(AM58="","",IF(ISERROR(FIND(CHAR(10),AM58,1)),AM58,LEFT(AM58,FIND(CHAR(10),AM58,1))))</f>
        <v/>
      </c>
      <c r="AR58" s="61" t="str">
        <f aca="false">IF(AM58="","",IFERROR(RIGHT(AM58,LEN(AM58)-FIND("@@@",SUBSTITUTE(AM58,CHAR(10),"@@@",LEN(AM58)-LEN(SUBSTITUTE(AM58,CHAR(10),""))),1)),AM58))</f>
        <v/>
      </c>
      <c r="AS58" s="62" t="str">
        <f aca="false">IFERROR(DATE(("20"&amp;MID(AQ58,7,2))*1,MID(AQ58,4,2)*1,MID(AQ58,1,2)*1),"")</f>
        <v/>
      </c>
      <c r="AT58" s="62" t="str">
        <f aca="false">IFERROR(DATE(("20"&amp;MID(AR58,7,2))*1,MID(AR58,4,2)*1,MID(AR58,1,2)*1),"")</f>
        <v/>
      </c>
      <c r="AU58" s="56" t="s">
        <v>450</v>
      </c>
    </row>
    <row r="59" customFormat="false" ht="12.75" hidden="false" customHeight="true" outlineLevel="0" collapsed="false">
      <c r="A59" s="63"/>
      <c r="B59" s="49" t="str">
        <f aca="false">IF(AH59="","tbc",AH59)</f>
        <v>tbc</v>
      </c>
      <c r="C59" s="49" t="str">
        <f aca="false">IF(AI59="","VNT",AI59)</f>
        <v>VNT</v>
      </c>
      <c r="D59" s="49" t="n">
        <f aca="false">MAX(X59,IF(AT59="none",X59,AT59))</f>
        <v>0</v>
      </c>
      <c r="E59" s="50" t="n">
        <f aca="false">IFERROR(DAYS360(X59,D59),0)</f>
        <v>0</v>
      </c>
      <c r="F59" s="50" t="n">
        <f aca="false">((LEN($AN59)-LEN(SUBSTITUTE($AN59,CHAR(10)&amp;". ","")))/3)+IF(LEFT(TRIM($AN59),2)=". ",1,0)</f>
        <v>0</v>
      </c>
      <c r="G59" s="50" t="n">
        <f aca="false">((LEN($AN59)-LEN(SUBSTITUTE($AN59,CHAR(10)&amp;"/ ","")))/3)+IF(LEFT(TRIM($AN59),2)="/ ",1,0)</f>
        <v>0</v>
      </c>
      <c r="H59" s="50" t="n">
        <f aca="false">((LEN($AN59)-LEN(SUBSTITUTE($AN59,CHAR(10)&amp;"~ ","")))/3)+IF(LEFT(TRIM($AN59),2)="~ ",1,0)</f>
        <v>0</v>
      </c>
      <c r="I59" s="50" t="n">
        <f aca="false">((LEN($AN59)-LEN(SUBSTITUTE($AN59,CHAR(10)&amp;"! ","")))/3)+IF(LEFT(TRIM($AN59),2)="! ",1,0)</f>
        <v>0</v>
      </c>
      <c r="J59" s="50" t="n">
        <f aca="false">((LEN($AN59)-LEN(SUBSTITUTE($AN59,CHAR(10)&amp;"x ","")))/3)+IF(LEFT(TRIM($AN59),2)="x ",1,0)</f>
        <v>0</v>
      </c>
      <c r="K59" s="50" t="n">
        <f aca="false">SUM(F59:J59)</f>
        <v>0</v>
      </c>
      <c r="L59" s="51" t="n">
        <f aca="false">YEAR(D59)</f>
        <v>1899</v>
      </c>
      <c r="M59" s="51" t="str">
        <f aca="false">VLOOKUP(MONTH(D59),Static!$AJ$3:$AK$16,2,0)</f>
        <v>Dec</v>
      </c>
      <c r="N59" s="51" t="n">
        <f aca="false">WEEKNUM(D59,1)</f>
        <v>52</v>
      </c>
      <c r="O59" s="51" t="str">
        <f aca="false">IFERROR(INDEX(Static!$I$5:$L$15,MATCH(AA59,Static!$I$5:$I$15,0),3),"Z")</f>
        <v>Z</v>
      </c>
      <c r="P59" s="51" t="str">
        <f aca="false">IFERROR(INDEX(Static!$I$5:$L$15,MATCH(AA59,Static!$I$5:$I$15,0),4),"Y")</f>
        <v>Y</v>
      </c>
      <c r="Q59" s="51" t="str">
        <f aca="false">IF(D59&gt;(($A$14-WEEKDAY($A$14,2))-7*$D$15),"Y","N")</f>
        <v>N</v>
      </c>
      <c r="R59" s="49" t="str">
        <f aca="false">IF(AB59&lt;&gt;"","Y","N")</f>
        <v>N</v>
      </c>
      <c r="S59" s="51" t="str">
        <f aca="false">IF(AND(Q59="Y",R59="N"),"Y","N")</f>
        <v>N</v>
      </c>
      <c r="T59" s="49" t="str">
        <f aca="false">IF(OR(Y59="Y",Y59="N"),Y59,IF(AND(P59="Y", OR(Q59="Y",S59="Y")),"Y","N"))</f>
        <v>N</v>
      </c>
      <c r="U59" s="51" t="str">
        <f aca="false">"Y"</f>
        <v>Y</v>
      </c>
      <c r="V59" s="53" t="str">
        <f aca="false">" -  "&amp;O59&amp;AJ59&amp;AK59&amp;AB59</f>
        <v>-  Z</v>
      </c>
      <c r="W59" s="51" t="str">
        <f aca="false">IFERROR(VLOOKUP(WEEKDAY(X59),Static!$AL$3:$AM$11,2,0),"")</f>
        <v>Sat</v>
      </c>
      <c r="X59" s="49" t="n">
        <f aca="false">IF(AD59&lt;&gt;"",AS59,0)</f>
        <v>0</v>
      </c>
      <c r="Y59" s="54"/>
      <c r="Z59" s="54"/>
      <c r="AA59" s="79"/>
      <c r="AB59" s="56"/>
      <c r="AC59" s="58"/>
      <c r="AD59" s="54"/>
      <c r="AE59" s="80"/>
      <c r="AF59" s="57"/>
      <c r="AG59" s="81" t="str">
        <f aca="false">IF(AB59="","",AE59*AF59/8)</f>
        <v/>
      </c>
      <c r="AH59" s="54"/>
      <c r="AI59" s="54"/>
      <c r="AJ59" s="54"/>
      <c r="AK59" s="82"/>
      <c r="AL59" s="58"/>
      <c r="AM59" s="56"/>
      <c r="AN59" s="56"/>
      <c r="AO59" s="51" t="n">
        <f aca="false">SUM(F59:I59)</f>
        <v>0</v>
      </c>
      <c r="AP59" s="59" t="n">
        <f aca="false">IF(AB59="",1,IF(K59&lt;&gt;0,(G59*0.5+J59)/K59,1))</f>
        <v>1</v>
      </c>
      <c r="AQ59" s="60" t="str">
        <f aca="false">IF(AM59="","",IF(ISERROR(FIND(CHAR(10),AM59,1)),AM59,LEFT(AM59,FIND(CHAR(10),AM59,1))))</f>
        <v/>
      </c>
      <c r="AR59" s="61" t="str">
        <f aca="false">IF(AM59="","",IFERROR(RIGHT(AM59,LEN(AM59)-FIND("@@@",SUBSTITUTE(AM59,CHAR(10),"@@@",LEN(AM59)-LEN(SUBSTITUTE(AM59,CHAR(10),""))),1)),AM59))</f>
        <v/>
      </c>
      <c r="AS59" s="62" t="str">
        <f aca="false">IFERROR(DATE(("20"&amp;MID(AQ59,7,2))*1,MID(AQ59,4,2)*1,MID(AQ59,1,2)*1),"")</f>
        <v/>
      </c>
      <c r="AT59" s="62" t="str">
        <f aca="false">IFERROR(DATE(("20"&amp;MID(AR59,7,2))*1,MID(AR59,4,2)*1,MID(AR59,1,2)*1),"")</f>
        <v/>
      </c>
      <c r="AU59" s="56" t="s">
        <v>450</v>
      </c>
    </row>
    <row r="60" customFormat="false" ht="12.75" hidden="false" customHeight="true" outlineLevel="0" collapsed="false">
      <c r="A60" s="63"/>
      <c r="B60" s="49" t="str">
        <f aca="false">IF(AH60="","tbc",AH60)</f>
        <v>tbc</v>
      </c>
      <c r="C60" s="49" t="str">
        <f aca="false">IF(AI60="","VNT",AI60)</f>
        <v>VNT</v>
      </c>
      <c r="D60" s="49" t="n">
        <f aca="false">MAX(X60,IF(AT60="none",X60,AT60))</f>
        <v>0</v>
      </c>
      <c r="E60" s="50" t="n">
        <f aca="false">IFERROR(DAYS360(X60,D60),0)</f>
        <v>0</v>
      </c>
      <c r="F60" s="50" t="n">
        <f aca="false">((LEN($AN60)-LEN(SUBSTITUTE($AN60,CHAR(10)&amp;". ","")))/3)+IF(LEFT(TRIM($AN60),2)=". ",1,0)</f>
        <v>0</v>
      </c>
      <c r="G60" s="50" t="n">
        <f aca="false">((LEN($AN60)-LEN(SUBSTITUTE($AN60,CHAR(10)&amp;"/ ","")))/3)+IF(LEFT(TRIM($AN60),2)="/ ",1,0)</f>
        <v>0</v>
      </c>
      <c r="H60" s="50" t="n">
        <f aca="false">((LEN($AN60)-LEN(SUBSTITUTE($AN60,CHAR(10)&amp;"~ ","")))/3)+IF(LEFT(TRIM($AN60),2)="~ ",1,0)</f>
        <v>0</v>
      </c>
      <c r="I60" s="50" t="n">
        <f aca="false">((LEN($AN60)-LEN(SUBSTITUTE($AN60,CHAR(10)&amp;"! ","")))/3)+IF(LEFT(TRIM($AN60),2)="! ",1,0)</f>
        <v>0</v>
      </c>
      <c r="J60" s="50" t="n">
        <f aca="false">((LEN($AN60)-LEN(SUBSTITUTE($AN60,CHAR(10)&amp;"x ","")))/3)+IF(LEFT(TRIM($AN60),2)="x ",1,0)</f>
        <v>0</v>
      </c>
      <c r="K60" s="50" t="n">
        <f aca="false">SUM(F60:J60)</f>
        <v>0</v>
      </c>
      <c r="L60" s="51" t="n">
        <f aca="false">YEAR(D60)</f>
        <v>1899</v>
      </c>
      <c r="M60" s="51" t="str">
        <f aca="false">VLOOKUP(MONTH(D60),Static!$AJ$3:$AK$16,2,0)</f>
        <v>Dec</v>
      </c>
      <c r="N60" s="51" t="n">
        <f aca="false">WEEKNUM(D60,1)</f>
        <v>52</v>
      </c>
      <c r="O60" s="51" t="str">
        <f aca="false">IFERROR(INDEX(Static!$I$5:$L$15,MATCH(AA60,Static!$I$5:$I$15,0),3),"Z")</f>
        <v>Z</v>
      </c>
      <c r="P60" s="51" t="str">
        <f aca="false">IFERROR(INDEX(Static!$I$5:$L$15,MATCH(AA60,Static!$I$5:$I$15,0),4),"Y")</f>
        <v>Y</v>
      </c>
      <c r="Q60" s="51" t="str">
        <f aca="false">IF(D60&gt;(($A$14-WEEKDAY($A$14,2))-7*$D$15),"Y","N")</f>
        <v>N</v>
      </c>
      <c r="R60" s="49" t="str">
        <f aca="false">IF(AB60&lt;&gt;"","Y","N")</f>
        <v>N</v>
      </c>
      <c r="S60" s="51" t="str">
        <f aca="false">IF(AND(Q60="Y",R60="N"),"Y","N")</f>
        <v>N</v>
      </c>
      <c r="T60" s="49" t="str">
        <f aca="false">IF(OR(Y60="Y",Y60="N"),Y60,IF(AND(P60="Y", OR(Q60="Y",S60="Y")),"Y","N"))</f>
        <v>N</v>
      </c>
      <c r="U60" s="51" t="str">
        <f aca="false">"Y"</f>
        <v>Y</v>
      </c>
      <c r="V60" s="53" t="str">
        <f aca="false">" -  "&amp;O60&amp;AJ60&amp;AK60&amp;AB60</f>
        <v>-  Z</v>
      </c>
      <c r="W60" s="51" t="str">
        <f aca="false">IFERROR(VLOOKUP(WEEKDAY(X60),Static!$AL$3:$AM$11,2,0),"")</f>
        <v>Sat</v>
      </c>
      <c r="X60" s="49" t="n">
        <f aca="false">IF(AD60&lt;&gt;"",AS60,0)</f>
        <v>0</v>
      </c>
      <c r="Y60" s="54"/>
      <c r="Z60" s="54"/>
      <c r="AA60" s="79"/>
      <c r="AB60" s="56"/>
      <c r="AC60" s="58"/>
      <c r="AD60" s="54"/>
      <c r="AE60" s="80"/>
      <c r="AF60" s="57"/>
      <c r="AG60" s="81" t="str">
        <f aca="false">IF(AB60="","",AE60*AF60/8)</f>
        <v/>
      </c>
      <c r="AH60" s="54"/>
      <c r="AI60" s="54"/>
      <c r="AJ60" s="54"/>
      <c r="AK60" s="82"/>
      <c r="AL60" s="58"/>
      <c r="AM60" s="56"/>
      <c r="AN60" s="58"/>
      <c r="AO60" s="51" t="n">
        <f aca="false">SUM(F60:I60)</f>
        <v>0</v>
      </c>
      <c r="AP60" s="59" t="n">
        <f aca="false">IF(AB60="",1,IF(K60&lt;&gt;0,(G60*0.5+J60)/K60,1))</f>
        <v>1</v>
      </c>
      <c r="AQ60" s="60" t="str">
        <f aca="false">IF(AM60="","",IF(ISERROR(FIND(CHAR(10),AM60,1)),AM60,LEFT(AM60,FIND(CHAR(10),AM60,1))))</f>
        <v/>
      </c>
      <c r="AR60" s="61" t="str">
        <f aca="false">IF(AM60="","",IFERROR(RIGHT(AM60,LEN(AM60)-FIND("@@@",SUBSTITUTE(AM60,CHAR(10),"@@@",LEN(AM60)-LEN(SUBSTITUTE(AM60,CHAR(10),""))),1)),AM60))</f>
        <v/>
      </c>
      <c r="AS60" s="62" t="str">
        <f aca="false">IFERROR(DATE(("20"&amp;MID(AQ60,7,2))*1,MID(AQ60,4,2)*1,MID(AQ60,1,2)*1),"")</f>
        <v/>
      </c>
      <c r="AT60" s="62" t="str">
        <f aca="false">IFERROR(DATE(("20"&amp;MID(AR60,7,2))*1,MID(AR60,4,2)*1,MID(AR60,1,2)*1),"")</f>
        <v/>
      </c>
      <c r="AU60" s="56" t="s">
        <v>450</v>
      </c>
    </row>
    <row r="61" customFormat="false" ht="12.75" hidden="false" customHeight="true" outlineLevel="0" collapsed="false">
      <c r="A61" s="63"/>
      <c r="B61" s="49" t="str">
        <f aca="false">IF(AH61="","tbc",AH61)</f>
        <v>tbc</v>
      </c>
      <c r="C61" s="49" t="str">
        <f aca="false">IF(AI61="","VNT",AI61)</f>
        <v>VNT</v>
      </c>
      <c r="D61" s="49" t="n">
        <f aca="false">MAX(X61,IF(AT61="none",X61,AT61))</f>
        <v>0</v>
      </c>
      <c r="E61" s="50" t="n">
        <f aca="false">IFERROR(DAYS360(X61,D61),0)</f>
        <v>0</v>
      </c>
      <c r="F61" s="50" t="n">
        <f aca="false">((LEN($AN61)-LEN(SUBSTITUTE($AN61,CHAR(10)&amp;". ","")))/3)+IF(LEFT(TRIM($AN61),2)=". ",1,0)</f>
        <v>0</v>
      </c>
      <c r="G61" s="50" t="n">
        <f aca="false">((LEN($AN61)-LEN(SUBSTITUTE($AN61,CHAR(10)&amp;"/ ","")))/3)+IF(LEFT(TRIM($AN61),2)="/ ",1,0)</f>
        <v>0</v>
      </c>
      <c r="H61" s="50" t="n">
        <f aca="false">((LEN($AN61)-LEN(SUBSTITUTE($AN61,CHAR(10)&amp;"~ ","")))/3)+IF(LEFT(TRIM($AN61),2)="~ ",1,0)</f>
        <v>0</v>
      </c>
      <c r="I61" s="50" t="n">
        <f aca="false">((LEN($AN61)-LEN(SUBSTITUTE($AN61,CHAR(10)&amp;"! ","")))/3)+IF(LEFT(TRIM($AN61),2)="! ",1,0)</f>
        <v>0</v>
      </c>
      <c r="J61" s="50" t="n">
        <f aca="false">((LEN($AN61)-LEN(SUBSTITUTE($AN61,CHAR(10)&amp;"x ","")))/3)+IF(LEFT(TRIM($AN61),2)="x ",1,0)</f>
        <v>0</v>
      </c>
      <c r="K61" s="50" t="n">
        <f aca="false">SUM(F61:J61)</f>
        <v>0</v>
      </c>
      <c r="L61" s="51" t="n">
        <f aca="false">YEAR(D61)</f>
        <v>1899</v>
      </c>
      <c r="M61" s="51" t="str">
        <f aca="false">VLOOKUP(MONTH(D61),Static!$AJ$3:$AK$16,2,0)</f>
        <v>Dec</v>
      </c>
      <c r="N61" s="51" t="n">
        <f aca="false">WEEKNUM(D61,1)</f>
        <v>52</v>
      </c>
      <c r="O61" s="51" t="str">
        <f aca="false">IFERROR(INDEX(Static!$I$5:$L$15,MATCH(AA61,Static!$I$5:$I$15,0),3),"Z")</f>
        <v>Z</v>
      </c>
      <c r="P61" s="51" t="str">
        <f aca="false">IFERROR(INDEX(Static!$I$5:$L$15,MATCH(AA61,Static!$I$5:$I$15,0),4),"Y")</f>
        <v>Y</v>
      </c>
      <c r="Q61" s="51" t="str">
        <f aca="false">IF(D61&gt;(($A$14-WEEKDAY($A$14,2))-7*$D$15),"Y","N")</f>
        <v>N</v>
      </c>
      <c r="R61" s="49" t="str">
        <f aca="false">IF(AB61&lt;&gt;"","Y","N")</f>
        <v>N</v>
      </c>
      <c r="S61" s="51" t="str">
        <f aca="false">IF(AND(Q61="Y",R61="N"),"Y","N")</f>
        <v>N</v>
      </c>
      <c r="T61" s="49" t="str">
        <f aca="false">IF(OR(Y61="Y",Y61="N"),Y61,IF(AND(P61="Y", OR(Q61="Y",S61="Y")),"Y","N"))</f>
        <v>N</v>
      </c>
      <c r="U61" s="51" t="str">
        <f aca="false">"Y"</f>
        <v>Y</v>
      </c>
      <c r="V61" s="53" t="str">
        <f aca="false">" -  "&amp;O61&amp;AJ61&amp;AK61&amp;AB61</f>
        <v>-  Z</v>
      </c>
      <c r="W61" s="51" t="str">
        <f aca="false">IFERROR(VLOOKUP(WEEKDAY(X61),Static!$AL$3:$AM$11,2,0),"")</f>
        <v>Sat</v>
      </c>
      <c r="X61" s="49" t="n">
        <f aca="false">IF(AD61&lt;&gt;"",AS61,0)</f>
        <v>0</v>
      </c>
      <c r="Y61" s="54"/>
      <c r="Z61" s="54"/>
      <c r="AA61" s="79"/>
      <c r="AB61" s="56"/>
      <c r="AC61" s="56"/>
      <c r="AD61" s="54"/>
      <c r="AE61" s="80"/>
      <c r="AF61" s="57"/>
      <c r="AG61" s="81" t="str">
        <f aca="false">IF(AB61="","",AE61*AF61/8)</f>
        <v/>
      </c>
      <c r="AH61" s="54"/>
      <c r="AI61" s="54"/>
      <c r="AJ61" s="54"/>
      <c r="AK61" s="82"/>
      <c r="AL61" s="58"/>
      <c r="AM61" s="56"/>
      <c r="AN61" s="58"/>
      <c r="AO61" s="51" t="n">
        <f aca="false">SUM(F61:I61)</f>
        <v>0</v>
      </c>
      <c r="AP61" s="59" t="n">
        <f aca="false">IF(AB61="",1,IF(K61&lt;&gt;0,(G61*0.5+J61)/K61,1))</f>
        <v>1</v>
      </c>
      <c r="AQ61" s="60" t="str">
        <f aca="false">IF(AM61="","",IF(ISERROR(FIND(CHAR(10),AM61,1)),AM61,LEFT(AM61,FIND(CHAR(10),AM61,1))))</f>
        <v/>
      </c>
      <c r="AR61" s="61" t="str">
        <f aca="false">IF(AM61="","",IFERROR(RIGHT(AM61,LEN(AM61)-FIND("@@@",SUBSTITUTE(AM61,CHAR(10),"@@@",LEN(AM61)-LEN(SUBSTITUTE(AM61,CHAR(10),""))),1)),AM61))</f>
        <v/>
      </c>
      <c r="AS61" s="62" t="str">
        <f aca="false">IFERROR(DATE(("20"&amp;MID(AQ61,7,2))*1,MID(AQ61,4,2)*1,MID(AQ61,1,2)*1),"")</f>
        <v/>
      </c>
      <c r="AT61" s="62" t="str">
        <f aca="false">IFERROR(DATE(("20"&amp;MID(AR61,7,2))*1,MID(AR61,4,2)*1,MID(AR61,1,2)*1),"")</f>
        <v/>
      </c>
      <c r="AU61" s="56" t="s">
        <v>450</v>
      </c>
    </row>
    <row r="62" customFormat="false" ht="12.75" hidden="false" customHeight="true" outlineLevel="0" collapsed="false">
      <c r="A62" s="63"/>
      <c r="B62" s="49" t="str">
        <f aca="false">IF(AH62="","tbc",AH62)</f>
        <v>tbc</v>
      </c>
      <c r="C62" s="49" t="str">
        <f aca="false">IF(AI62="","VNT",AI62)</f>
        <v>VNT</v>
      </c>
      <c r="D62" s="49" t="n">
        <f aca="false">MAX(X62,IF(AT62="none",X62,AT62))</f>
        <v>0</v>
      </c>
      <c r="E62" s="50" t="n">
        <f aca="false">IFERROR(DAYS360(X62,D62),0)</f>
        <v>0</v>
      </c>
      <c r="F62" s="50" t="n">
        <f aca="false">((LEN($AN62)-LEN(SUBSTITUTE($AN62,CHAR(10)&amp;". ","")))/3)+IF(LEFT(TRIM($AN62),2)=". ",1,0)</f>
        <v>0</v>
      </c>
      <c r="G62" s="50" t="n">
        <f aca="false">((LEN($AN62)-LEN(SUBSTITUTE($AN62,CHAR(10)&amp;"/ ","")))/3)+IF(LEFT(TRIM($AN62),2)="/ ",1,0)</f>
        <v>0</v>
      </c>
      <c r="H62" s="50" t="n">
        <f aca="false">((LEN($AN62)-LEN(SUBSTITUTE($AN62,CHAR(10)&amp;"~ ","")))/3)+IF(LEFT(TRIM($AN62),2)="~ ",1,0)</f>
        <v>0</v>
      </c>
      <c r="I62" s="50" t="n">
        <f aca="false">((LEN($AN62)-LEN(SUBSTITUTE($AN62,CHAR(10)&amp;"! ","")))/3)+IF(LEFT(TRIM($AN62),2)="! ",1,0)</f>
        <v>0</v>
      </c>
      <c r="J62" s="50" t="n">
        <f aca="false">((LEN($AN62)-LEN(SUBSTITUTE($AN62,CHAR(10)&amp;"x ","")))/3)+IF(LEFT(TRIM($AN62),2)="x ",1,0)</f>
        <v>0</v>
      </c>
      <c r="K62" s="50" t="n">
        <f aca="false">SUM(F62:J62)</f>
        <v>0</v>
      </c>
      <c r="L62" s="51" t="n">
        <f aca="false">YEAR(D62)</f>
        <v>1899</v>
      </c>
      <c r="M62" s="51" t="str">
        <f aca="false">VLOOKUP(MONTH(D62),Static!$AJ$3:$AK$16,2,0)</f>
        <v>Dec</v>
      </c>
      <c r="N62" s="51" t="n">
        <f aca="false">WEEKNUM(D62,1)</f>
        <v>52</v>
      </c>
      <c r="O62" s="51" t="str">
        <f aca="false">IFERROR(INDEX(Static!$I$5:$L$15,MATCH(AA62,Static!$I$5:$I$15,0),3),"Z")</f>
        <v>Z</v>
      </c>
      <c r="P62" s="51" t="str">
        <f aca="false">IFERROR(INDEX(Static!$I$5:$L$15,MATCH(AA62,Static!$I$5:$I$15,0),4),"Y")</f>
        <v>Y</v>
      </c>
      <c r="Q62" s="51" t="str">
        <f aca="false">IF(D62&gt;(($A$14-WEEKDAY($A$14,2))-7*$D$15),"Y","N")</f>
        <v>N</v>
      </c>
      <c r="R62" s="49" t="str">
        <f aca="false">IF(AB62&lt;&gt;"","Y","N")</f>
        <v>N</v>
      </c>
      <c r="S62" s="51" t="str">
        <f aca="false">IF(AND(Q62="Y",R62="N"),"Y","N")</f>
        <v>N</v>
      </c>
      <c r="T62" s="49" t="str">
        <f aca="false">IF(OR(Y62="Y",Y62="N"),Y62,IF(AND(P62="Y", OR(Q62="Y",S62="Y")),"Y","N"))</f>
        <v>N</v>
      </c>
      <c r="U62" s="51" t="str">
        <f aca="false">"Y"</f>
        <v>Y</v>
      </c>
      <c r="V62" s="53" t="str">
        <f aca="false">" -  "&amp;O62&amp;AJ62&amp;AK62&amp;AB62</f>
        <v>-  Z</v>
      </c>
      <c r="W62" s="51" t="str">
        <f aca="false">IFERROR(VLOOKUP(WEEKDAY(X62),Static!$AL$3:$AM$11,2,0),"")</f>
        <v>Sat</v>
      </c>
      <c r="X62" s="49" t="n">
        <f aca="false">IF(AD62&lt;&gt;"",AS62,0)</f>
        <v>0</v>
      </c>
      <c r="Y62" s="54"/>
      <c r="Z62" s="54"/>
      <c r="AA62" s="79"/>
      <c r="AB62" s="56"/>
      <c r="AC62" s="56"/>
      <c r="AD62" s="54"/>
      <c r="AE62" s="80"/>
      <c r="AF62" s="57"/>
      <c r="AG62" s="81" t="str">
        <f aca="false">IF(AB62="","",AE62*AF62/8)</f>
        <v/>
      </c>
      <c r="AH62" s="54"/>
      <c r="AI62" s="54"/>
      <c r="AJ62" s="54"/>
      <c r="AK62" s="82"/>
      <c r="AL62" s="58"/>
      <c r="AM62" s="56"/>
      <c r="AN62" s="56"/>
      <c r="AO62" s="51" t="n">
        <f aca="false">SUM(F62:I62)</f>
        <v>0</v>
      </c>
      <c r="AP62" s="59" t="n">
        <f aca="false">IF(AB62="",1,IF(K62&lt;&gt;0,(G62*0.5+J62)/K62,1))</f>
        <v>1</v>
      </c>
      <c r="AQ62" s="60" t="str">
        <f aca="false">IF(AM62="","",IF(ISERROR(FIND(CHAR(10),AM62,1)),AM62,LEFT(AM62,FIND(CHAR(10),AM62,1))))</f>
        <v/>
      </c>
      <c r="AR62" s="61" t="str">
        <f aca="false">IF(AM62="","",IFERROR(RIGHT(AM62,LEN(AM62)-FIND("@@@",SUBSTITUTE(AM62,CHAR(10),"@@@",LEN(AM62)-LEN(SUBSTITUTE(AM62,CHAR(10),""))),1)),AM62))</f>
        <v/>
      </c>
      <c r="AS62" s="62" t="str">
        <f aca="false">IFERROR(DATE(("20"&amp;MID(AQ62,7,2))*1,MID(AQ62,4,2)*1,MID(AQ62,1,2)*1),"")</f>
        <v/>
      </c>
      <c r="AT62" s="62" t="str">
        <f aca="false">IFERROR(DATE(("20"&amp;MID(AR62,7,2))*1,MID(AR62,4,2)*1,MID(AR62,1,2)*1),"")</f>
        <v/>
      </c>
      <c r="AU62" s="56" t="s">
        <v>450</v>
      </c>
    </row>
    <row r="63" customFormat="false" ht="12.75" hidden="false" customHeight="true" outlineLevel="0" collapsed="false">
      <c r="A63" s="63"/>
      <c r="B63" s="49" t="str">
        <f aca="false">IF(AH63="","tbc",AH63)</f>
        <v>tbc</v>
      </c>
      <c r="C63" s="49" t="str">
        <f aca="false">IF(AI63="","VNT",AI63)</f>
        <v>VNT</v>
      </c>
      <c r="D63" s="49" t="n">
        <f aca="false">MAX(X63,IF(AT63="none",X63,AT63))</f>
        <v>0</v>
      </c>
      <c r="E63" s="50" t="n">
        <f aca="false">IFERROR(DAYS360(X63,D63),0)</f>
        <v>0</v>
      </c>
      <c r="F63" s="50" t="n">
        <f aca="false">((LEN($AN63)-LEN(SUBSTITUTE($AN63,CHAR(10)&amp;". ","")))/3)+IF(LEFT(TRIM($AN63),2)=". ",1,0)</f>
        <v>0</v>
      </c>
      <c r="G63" s="50" t="n">
        <f aca="false">((LEN($AN63)-LEN(SUBSTITUTE($AN63,CHAR(10)&amp;"/ ","")))/3)+IF(LEFT(TRIM($AN63),2)="/ ",1,0)</f>
        <v>0</v>
      </c>
      <c r="H63" s="50" t="n">
        <f aca="false">((LEN($AN63)-LEN(SUBSTITUTE($AN63,CHAR(10)&amp;"~ ","")))/3)+IF(LEFT(TRIM($AN63),2)="~ ",1,0)</f>
        <v>0</v>
      </c>
      <c r="I63" s="50" t="n">
        <f aca="false">((LEN($AN63)-LEN(SUBSTITUTE($AN63,CHAR(10)&amp;"! ","")))/3)+IF(LEFT(TRIM($AN63),2)="! ",1,0)</f>
        <v>0</v>
      </c>
      <c r="J63" s="50" t="n">
        <f aca="false">((LEN($AN63)-LEN(SUBSTITUTE($AN63,CHAR(10)&amp;"x ","")))/3)+IF(LEFT(TRIM($AN63),2)="x ",1,0)</f>
        <v>0</v>
      </c>
      <c r="K63" s="50" t="n">
        <f aca="false">SUM(F63:J63)</f>
        <v>0</v>
      </c>
      <c r="L63" s="51" t="n">
        <f aca="false">YEAR(D63)</f>
        <v>1899</v>
      </c>
      <c r="M63" s="51" t="str">
        <f aca="false">VLOOKUP(MONTH(D63),Static!$AJ$3:$AK$16,2,0)</f>
        <v>Dec</v>
      </c>
      <c r="N63" s="51" t="n">
        <f aca="false">WEEKNUM(D63,1)</f>
        <v>52</v>
      </c>
      <c r="O63" s="51" t="str">
        <f aca="false">IFERROR(INDEX(Static!$I$5:$L$15,MATCH(AA63,Static!$I$5:$I$15,0),3),"Z")</f>
        <v>Z</v>
      </c>
      <c r="P63" s="51" t="str">
        <f aca="false">IFERROR(INDEX(Static!$I$5:$L$15,MATCH(AA63,Static!$I$5:$I$15,0),4),"Y")</f>
        <v>Y</v>
      </c>
      <c r="Q63" s="51" t="str">
        <f aca="false">IF(D63&gt;(($A$14-WEEKDAY($A$14,2))-7*$D$15),"Y","N")</f>
        <v>N</v>
      </c>
      <c r="R63" s="49" t="str">
        <f aca="false">IF(AB63&lt;&gt;"","Y","N")</f>
        <v>N</v>
      </c>
      <c r="S63" s="51" t="str">
        <f aca="false">IF(AND(Q63="Y",R63="N"),"Y","N")</f>
        <v>N</v>
      </c>
      <c r="T63" s="49" t="str">
        <f aca="false">IF(OR(Y63="Y",Y63="N"),Y63,IF(AND(P63="Y", OR(Q63="Y",S63="Y")),"Y","N"))</f>
        <v>N</v>
      </c>
      <c r="U63" s="51" t="str">
        <f aca="false">"Y"</f>
        <v>Y</v>
      </c>
      <c r="V63" s="53" t="str">
        <f aca="false">" -  "&amp;O63&amp;AJ63&amp;AK63&amp;AB63</f>
        <v>-  Z</v>
      </c>
      <c r="W63" s="51" t="str">
        <f aca="false">IFERROR(VLOOKUP(WEEKDAY(X63),Static!$AL$3:$AM$11,2,0),"")</f>
        <v>Sat</v>
      </c>
      <c r="X63" s="49" t="n">
        <f aca="false">IF(AD63&lt;&gt;"",AS63,0)</f>
        <v>0</v>
      </c>
      <c r="Y63" s="54"/>
      <c r="Z63" s="54"/>
      <c r="AA63" s="79"/>
      <c r="AB63" s="56"/>
      <c r="AC63" s="56"/>
      <c r="AD63" s="54"/>
      <c r="AE63" s="80"/>
      <c r="AF63" s="57"/>
      <c r="AG63" s="81" t="str">
        <f aca="false">IF(AB63="","",AE63*AF63/8)</f>
        <v/>
      </c>
      <c r="AH63" s="54"/>
      <c r="AI63" s="54"/>
      <c r="AJ63" s="54"/>
      <c r="AK63" s="82"/>
      <c r="AL63" s="58"/>
      <c r="AM63" s="56"/>
      <c r="AN63" s="58"/>
      <c r="AO63" s="51" t="n">
        <f aca="false">SUM(F63:I63)</f>
        <v>0</v>
      </c>
      <c r="AP63" s="59" t="n">
        <f aca="false">IF(AB63="",1,IF(K63&lt;&gt;0,(G63*0.5+J63)/K63,1))</f>
        <v>1</v>
      </c>
      <c r="AQ63" s="60" t="str">
        <f aca="false">IF(AM63="","",IF(ISERROR(FIND(CHAR(10),AM63,1)),AM63,LEFT(AM63,FIND(CHAR(10),AM63,1))))</f>
        <v/>
      </c>
      <c r="AR63" s="61" t="str">
        <f aca="false">IF(AM63="","",IFERROR(RIGHT(AM63,LEN(AM63)-FIND("@@@",SUBSTITUTE(AM63,CHAR(10),"@@@",LEN(AM63)-LEN(SUBSTITUTE(AM63,CHAR(10),""))),1)),AM63))</f>
        <v/>
      </c>
      <c r="AS63" s="62" t="str">
        <f aca="false">IFERROR(DATE(("20"&amp;MID(AQ63,7,2))*1,MID(AQ63,4,2)*1,MID(AQ63,1,2)*1),"")</f>
        <v/>
      </c>
      <c r="AT63" s="62" t="str">
        <f aca="false">IFERROR(DATE(("20"&amp;MID(AR63,7,2))*1,MID(AR63,4,2)*1,MID(AR63,1,2)*1),"")</f>
        <v/>
      </c>
      <c r="AU63" s="56" t="s">
        <v>450</v>
      </c>
    </row>
    <row r="64" customFormat="false" ht="12.75" hidden="false" customHeight="true" outlineLevel="0" collapsed="false">
      <c r="A64" s="63"/>
      <c r="B64" s="49" t="str">
        <f aca="false">IF(AH64="","tbc",AH64)</f>
        <v>tbc</v>
      </c>
      <c r="C64" s="49" t="str">
        <f aca="false">IF(AI64="","VNT",AI64)</f>
        <v>VNT</v>
      </c>
      <c r="D64" s="49" t="n">
        <f aca="false">MAX(X64,IF(AT64="none",X64,AT64))</f>
        <v>0</v>
      </c>
      <c r="E64" s="50" t="n">
        <f aca="false">IFERROR(DAYS360(X64,D64),0)</f>
        <v>0</v>
      </c>
      <c r="F64" s="50" t="n">
        <f aca="false">((LEN($AN64)-LEN(SUBSTITUTE($AN64,CHAR(10)&amp;". ","")))/3)+IF(LEFT(TRIM($AN64),2)=". ",1,0)</f>
        <v>0</v>
      </c>
      <c r="G64" s="50" t="n">
        <f aca="false">((LEN($AN64)-LEN(SUBSTITUTE($AN64,CHAR(10)&amp;"/ ","")))/3)+IF(LEFT(TRIM($AN64),2)="/ ",1,0)</f>
        <v>0</v>
      </c>
      <c r="H64" s="50" t="n">
        <f aca="false">((LEN($AN64)-LEN(SUBSTITUTE($AN64,CHAR(10)&amp;"~ ","")))/3)+IF(LEFT(TRIM($AN64),2)="~ ",1,0)</f>
        <v>0</v>
      </c>
      <c r="I64" s="50" t="n">
        <f aca="false">((LEN($AN64)-LEN(SUBSTITUTE($AN64,CHAR(10)&amp;"! ","")))/3)+IF(LEFT(TRIM($AN64),2)="! ",1,0)</f>
        <v>0</v>
      </c>
      <c r="J64" s="50" t="n">
        <f aca="false">((LEN($AN64)-LEN(SUBSTITUTE($AN64,CHAR(10)&amp;"x ","")))/3)+IF(LEFT(TRIM($AN64),2)="x ",1,0)</f>
        <v>0</v>
      </c>
      <c r="K64" s="50" t="n">
        <f aca="false">SUM(F64:J64)</f>
        <v>0</v>
      </c>
      <c r="L64" s="51" t="n">
        <f aca="false">YEAR(D64)</f>
        <v>1899</v>
      </c>
      <c r="M64" s="51" t="str">
        <f aca="false">VLOOKUP(MONTH(D64),Static!$AJ$3:$AK$16,2,0)</f>
        <v>Dec</v>
      </c>
      <c r="N64" s="51" t="n">
        <f aca="false">WEEKNUM(D64,1)</f>
        <v>52</v>
      </c>
      <c r="O64" s="51" t="str">
        <f aca="false">IFERROR(INDEX(Static!$I$5:$L$15,MATCH(AA64,Static!$I$5:$I$15,0),3),"Z")</f>
        <v>Z</v>
      </c>
      <c r="P64" s="51" t="str">
        <f aca="false">IFERROR(INDEX(Static!$I$5:$L$15,MATCH(AA64,Static!$I$5:$I$15,0),4),"Y")</f>
        <v>Y</v>
      </c>
      <c r="Q64" s="51" t="str">
        <f aca="false">IF(D64&gt;(($A$14-WEEKDAY($A$14,2))-7*$D$15),"Y","N")</f>
        <v>N</v>
      </c>
      <c r="R64" s="49" t="str">
        <f aca="false">IF(AB64&lt;&gt;"","Y","N")</f>
        <v>N</v>
      </c>
      <c r="S64" s="51" t="str">
        <f aca="false">IF(AND(Q64="Y",R64="N"),"Y","N")</f>
        <v>N</v>
      </c>
      <c r="T64" s="49" t="str">
        <f aca="false">IF(OR(Y64="Y",Y64="N"),Y64,IF(AND(P64="Y", OR(Q64="Y",S64="Y")),"Y","N"))</f>
        <v>N</v>
      </c>
      <c r="U64" s="51" t="str">
        <f aca="false">"Y"</f>
        <v>Y</v>
      </c>
      <c r="V64" s="53" t="str">
        <f aca="false">" -  "&amp;O64&amp;AJ64&amp;AK64&amp;AB64</f>
        <v>-  Z</v>
      </c>
      <c r="W64" s="51" t="str">
        <f aca="false">IFERROR(VLOOKUP(WEEKDAY(X64),Static!$AL$3:$AM$11,2,0),"")</f>
        <v>Sat</v>
      </c>
      <c r="X64" s="49" t="n">
        <f aca="false">IF(AD64&lt;&gt;"",AS64,0)</f>
        <v>0</v>
      </c>
      <c r="Y64" s="54"/>
      <c r="Z64" s="54"/>
      <c r="AA64" s="79"/>
      <c r="AB64" s="56"/>
      <c r="AC64" s="56"/>
      <c r="AD64" s="54"/>
      <c r="AE64" s="80"/>
      <c r="AF64" s="57"/>
      <c r="AG64" s="81" t="str">
        <f aca="false">IF(AB64="","",AE64*AF64/8)</f>
        <v/>
      </c>
      <c r="AH64" s="54"/>
      <c r="AI64" s="54"/>
      <c r="AJ64" s="54"/>
      <c r="AK64" s="82"/>
      <c r="AL64" s="58"/>
      <c r="AM64" s="56"/>
      <c r="AN64" s="58"/>
      <c r="AO64" s="51" t="n">
        <f aca="false">SUM(F64:I64)</f>
        <v>0</v>
      </c>
      <c r="AP64" s="59" t="n">
        <f aca="false">IF(AB64="",1,IF(K64&lt;&gt;0,(G64*0.5+J64)/K64,1))</f>
        <v>1</v>
      </c>
      <c r="AQ64" s="60" t="str">
        <f aca="false">IF(AM64="","",IF(ISERROR(FIND(CHAR(10),AM64,1)),AM64,LEFT(AM64,FIND(CHAR(10),AM64,1))))</f>
        <v/>
      </c>
      <c r="AR64" s="61" t="str">
        <f aca="false">IF(AM64="","",IFERROR(RIGHT(AM64,LEN(AM64)-FIND("@@@",SUBSTITUTE(AM64,CHAR(10),"@@@",LEN(AM64)-LEN(SUBSTITUTE(AM64,CHAR(10),""))),1)),AM64))</f>
        <v/>
      </c>
      <c r="AS64" s="62" t="str">
        <f aca="false">IFERROR(DATE(("20"&amp;MID(AQ64,7,2))*1,MID(AQ64,4,2)*1,MID(AQ64,1,2)*1),"")</f>
        <v/>
      </c>
      <c r="AT64" s="62" t="str">
        <f aca="false">IFERROR(DATE(("20"&amp;MID(AR64,7,2))*1,MID(AR64,4,2)*1,MID(AR64,1,2)*1),"")</f>
        <v/>
      </c>
      <c r="AU64" s="56" t="s">
        <v>450</v>
      </c>
    </row>
    <row r="65" customFormat="false" ht="12.75" hidden="false" customHeight="true" outlineLevel="0" collapsed="false">
      <c r="B65" s="49" t="str">
        <f aca="false">IF(AH65="","tbc",AH65)</f>
        <v>tbc</v>
      </c>
      <c r="C65" s="49" t="str">
        <f aca="false">IF(AI65="","VNT",AI65)</f>
        <v>VNT</v>
      </c>
      <c r="D65" s="49" t="n">
        <f aca="false">MAX(X65,IF(AT65="none",X65,AT65))</f>
        <v>0</v>
      </c>
      <c r="E65" s="50" t="n">
        <f aca="false">IFERROR(DAYS360(X65,D65),0)</f>
        <v>0</v>
      </c>
      <c r="F65" s="50" t="n">
        <f aca="false">((LEN($AN65)-LEN(SUBSTITUTE($AN65,CHAR(10)&amp;". ","")))/3)+IF(LEFT(TRIM($AN65),2)=". ",1,0)</f>
        <v>0</v>
      </c>
      <c r="G65" s="50" t="n">
        <f aca="false">((LEN($AN65)-LEN(SUBSTITUTE($AN65,CHAR(10)&amp;"/ ","")))/3)+IF(LEFT(TRIM($AN65),2)="/ ",1,0)</f>
        <v>0</v>
      </c>
      <c r="H65" s="50" t="n">
        <f aca="false">((LEN($AN65)-LEN(SUBSTITUTE($AN65,CHAR(10)&amp;"~ ","")))/3)+IF(LEFT(TRIM($AN65),2)="~ ",1,0)</f>
        <v>0</v>
      </c>
      <c r="I65" s="50" t="n">
        <f aca="false">((LEN($AN65)-LEN(SUBSTITUTE($AN65,CHAR(10)&amp;"! ","")))/3)+IF(LEFT(TRIM($AN65),2)="! ",1,0)</f>
        <v>0</v>
      </c>
      <c r="J65" s="50" t="n">
        <f aca="false">((LEN($AN65)-LEN(SUBSTITUTE($AN65,CHAR(10)&amp;"x ","")))/3)+IF(LEFT(TRIM($AN65),2)="x ",1,0)</f>
        <v>0</v>
      </c>
      <c r="K65" s="50" t="n">
        <f aca="false">SUM(F65:J65)</f>
        <v>0</v>
      </c>
      <c r="L65" s="51" t="n">
        <f aca="false">YEAR(D65)</f>
        <v>1899</v>
      </c>
      <c r="M65" s="51" t="str">
        <f aca="false">VLOOKUP(MONTH(D65),Static!$AJ$3:$AK$16,2,0)</f>
        <v>Dec</v>
      </c>
      <c r="N65" s="51" t="n">
        <f aca="false">WEEKNUM(D65,1)</f>
        <v>52</v>
      </c>
      <c r="O65" s="51" t="str">
        <f aca="false">IFERROR(INDEX(Static!$I$5:$L$15,MATCH(AA65,Static!$I$5:$I$15,0),3),"Z")</f>
        <v>Z</v>
      </c>
      <c r="P65" s="51" t="str">
        <f aca="false">IFERROR(INDEX(Static!$I$5:$L$15,MATCH(AA65,Static!$I$5:$I$15,0),4),"Y")</f>
        <v>Y</v>
      </c>
      <c r="Q65" s="51" t="str">
        <f aca="false">IF(D65&gt;(($A$14-WEEKDAY($A$14,2))-7*$D$15),"Y","N")</f>
        <v>N</v>
      </c>
      <c r="R65" s="49" t="str">
        <f aca="false">IF(AB65&lt;&gt;"","Y","N")</f>
        <v>N</v>
      </c>
      <c r="S65" s="51" t="str">
        <f aca="false">IF(AND(Q65="Y",R65="N"),"Y","N")</f>
        <v>N</v>
      </c>
      <c r="T65" s="49" t="str">
        <f aca="false">IF(OR(Y65="Y",Y65="N"),Y65,IF(AND(P65="Y", OR(Q65="Y",S65="Y")),"Y","N"))</f>
        <v>N</v>
      </c>
      <c r="U65" s="51" t="str">
        <f aca="false">"Y"</f>
        <v>Y</v>
      </c>
      <c r="V65" s="53" t="str">
        <f aca="false">" -  "&amp;O65&amp;AJ65&amp;AK65&amp;AB65</f>
        <v>-  Z</v>
      </c>
      <c r="W65" s="51" t="str">
        <f aca="false">IFERROR(VLOOKUP(WEEKDAY(X65),Static!$AL$3:$AM$11,2,0),"")</f>
        <v>Sat</v>
      </c>
      <c r="X65" s="49" t="n">
        <f aca="false">IF(AD65&lt;&gt;"",AS65,0)</f>
        <v>0</v>
      </c>
      <c r="Y65" s="54"/>
      <c r="Z65" s="54"/>
      <c r="AA65" s="79"/>
      <c r="AB65" s="56"/>
      <c r="AC65" s="56"/>
      <c r="AD65" s="54"/>
      <c r="AE65" s="80"/>
      <c r="AF65" s="57"/>
      <c r="AG65" s="81" t="str">
        <f aca="false">IF(AB65="","",AE65*AF65/8)</f>
        <v/>
      </c>
      <c r="AH65" s="54"/>
      <c r="AI65" s="54"/>
      <c r="AJ65" s="54"/>
      <c r="AK65" s="82"/>
      <c r="AL65" s="58"/>
      <c r="AM65" s="58"/>
      <c r="AN65" s="58"/>
      <c r="AO65" s="51" t="n">
        <f aca="false">SUM(F65:I65)</f>
        <v>0</v>
      </c>
      <c r="AP65" s="59" t="n">
        <f aca="false">IF(AB65="",1,IF(K65&lt;&gt;0,(G65*0.5+J65)/K65,1))</f>
        <v>1</v>
      </c>
      <c r="AQ65" s="60" t="str">
        <f aca="false">IF(AM65="","",IF(ISERROR(FIND(CHAR(10),AM65,1)),AM65,LEFT(AM65,FIND(CHAR(10),AM65,1))))</f>
        <v/>
      </c>
      <c r="AR65" s="61" t="str">
        <f aca="false">IF(AM65="","",IFERROR(RIGHT(AM65,LEN(AM65)-FIND("@@@",SUBSTITUTE(AM65,CHAR(10),"@@@",LEN(AM65)-LEN(SUBSTITUTE(AM65,CHAR(10),""))),1)),AM65))</f>
        <v/>
      </c>
      <c r="AS65" s="62" t="str">
        <f aca="false">IFERROR(DATE(("20"&amp;MID(AQ65,7,2))*1,MID(AQ65,4,2)*1,MID(AQ65,1,2)*1),"")</f>
        <v/>
      </c>
      <c r="AT65" s="62" t="str">
        <f aca="false">IFERROR(DATE(("20"&amp;MID(AR65,7,2))*1,MID(AR65,4,2)*1,MID(AR65,1,2)*1),"")</f>
        <v/>
      </c>
      <c r="AU65" s="56" t="s">
        <v>450</v>
      </c>
    </row>
    <row r="66" customFormat="false" ht="12.75" hidden="false" customHeight="true" outlineLevel="0" collapsed="false">
      <c r="A66" s="63"/>
      <c r="B66" s="49" t="str">
        <f aca="false">IF(AH66="","tbc",AH66)</f>
        <v>tbc</v>
      </c>
      <c r="C66" s="49" t="str">
        <f aca="false">IF(AI66="","VNT",AI66)</f>
        <v>VNT</v>
      </c>
      <c r="D66" s="49" t="n">
        <f aca="false">MAX(X66,IF(AT66="none",X66,AT66))</f>
        <v>0</v>
      </c>
      <c r="E66" s="50" t="n">
        <f aca="false">IFERROR(DAYS360(X66,D66),0)</f>
        <v>0</v>
      </c>
      <c r="F66" s="50" t="n">
        <f aca="false">((LEN($AN66)-LEN(SUBSTITUTE($AN66,CHAR(10)&amp;". ","")))/3)+IF(LEFT(TRIM($AN66),2)=". ",1,0)</f>
        <v>0</v>
      </c>
      <c r="G66" s="50" t="n">
        <f aca="false">((LEN($AN66)-LEN(SUBSTITUTE($AN66,CHAR(10)&amp;"/ ","")))/3)+IF(LEFT(TRIM($AN66),2)="/ ",1,0)</f>
        <v>0</v>
      </c>
      <c r="H66" s="50" t="n">
        <f aca="false">((LEN($AN66)-LEN(SUBSTITUTE($AN66,CHAR(10)&amp;"~ ","")))/3)+IF(LEFT(TRIM($AN66),2)="~ ",1,0)</f>
        <v>0</v>
      </c>
      <c r="I66" s="50" t="n">
        <f aca="false">((LEN($AN66)-LEN(SUBSTITUTE($AN66,CHAR(10)&amp;"! ","")))/3)+IF(LEFT(TRIM($AN66),2)="! ",1,0)</f>
        <v>0</v>
      </c>
      <c r="J66" s="50" t="n">
        <f aca="false">((LEN($AN66)-LEN(SUBSTITUTE($AN66,CHAR(10)&amp;"x ","")))/3)+IF(LEFT(TRIM($AN66),2)="x ",1,0)</f>
        <v>0</v>
      </c>
      <c r="K66" s="50" t="n">
        <f aca="false">SUM(F66:J66)</f>
        <v>0</v>
      </c>
      <c r="L66" s="51" t="n">
        <f aca="false">YEAR(D66)</f>
        <v>1899</v>
      </c>
      <c r="M66" s="51" t="str">
        <f aca="false">VLOOKUP(MONTH(D66),Static!$AJ$3:$AK$16,2,0)</f>
        <v>Dec</v>
      </c>
      <c r="N66" s="51" t="n">
        <f aca="false">WEEKNUM(D66,1)</f>
        <v>52</v>
      </c>
      <c r="O66" s="51" t="str">
        <f aca="false">IFERROR(INDEX(Static!$I$5:$L$15,MATCH(AA66,Static!$I$5:$I$15,0),3),"Z")</f>
        <v>Z</v>
      </c>
      <c r="P66" s="51" t="str">
        <f aca="false">IFERROR(INDEX(Static!$I$5:$L$15,MATCH(AA66,Static!$I$5:$I$15,0),4),"Y")</f>
        <v>Y</v>
      </c>
      <c r="Q66" s="51" t="str">
        <f aca="false">IF(D66&gt;(($A$14-WEEKDAY($A$14,2))-7*$D$15),"Y","N")</f>
        <v>N</v>
      </c>
      <c r="R66" s="49" t="str">
        <f aca="false">IF(AB66&lt;&gt;"","Y","N")</f>
        <v>N</v>
      </c>
      <c r="S66" s="51" t="str">
        <f aca="false">IF(AND(Q66="Y",R66="N"),"Y","N")</f>
        <v>N</v>
      </c>
      <c r="T66" s="49" t="str">
        <f aca="false">IF(OR(Y66="Y",Y66="N"),Y66,IF(AND(P66="Y", OR(Q66="Y",S66="Y")),"Y","N"))</f>
        <v>N</v>
      </c>
      <c r="U66" s="51" t="str">
        <f aca="false">"Y"</f>
        <v>Y</v>
      </c>
      <c r="V66" s="53" t="str">
        <f aca="false">" -  "&amp;O66&amp;AJ66&amp;AK66&amp;AB66</f>
        <v>-  Z</v>
      </c>
      <c r="W66" s="51" t="str">
        <f aca="false">IFERROR(VLOOKUP(WEEKDAY(X66),Static!$AL$3:$AM$11,2,0),"")</f>
        <v>Sat</v>
      </c>
      <c r="X66" s="49" t="n">
        <f aca="false">IF(AD66&lt;&gt;"",AS66,0)</f>
        <v>0</v>
      </c>
      <c r="Y66" s="54"/>
      <c r="Z66" s="54"/>
      <c r="AA66" s="79"/>
      <c r="AB66" s="56"/>
      <c r="AC66" s="56"/>
      <c r="AD66" s="54"/>
      <c r="AE66" s="80"/>
      <c r="AF66" s="57"/>
      <c r="AG66" s="81" t="str">
        <f aca="false">IF(AB66="","",AE66*AF66/8)</f>
        <v/>
      </c>
      <c r="AH66" s="54"/>
      <c r="AI66" s="54"/>
      <c r="AJ66" s="54"/>
      <c r="AK66" s="82"/>
      <c r="AL66" s="58"/>
      <c r="AM66" s="56"/>
      <c r="AN66" s="58"/>
      <c r="AO66" s="51" t="n">
        <f aca="false">SUM(F66:I66)</f>
        <v>0</v>
      </c>
      <c r="AP66" s="59" t="n">
        <f aca="false">IF(AB66="",1,IF(K66&lt;&gt;0,(G66*0.5+J66)/K66,1))</f>
        <v>1</v>
      </c>
      <c r="AQ66" s="60" t="str">
        <f aca="false">IF(AM66="","",IF(ISERROR(FIND(CHAR(10),AM66,1)),AM66,LEFT(AM66,FIND(CHAR(10),AM66,1))))</f>
        <v/>
      </c>
      <c r="AR66" s="61" t="str">
        <f aca="false">IF(AM66="","",IFERROR(RIGHT(AM66,LEN(AM66)-FIND("@@@",SUBSTITUTE(AM66,CHAR(10),"@@@",LEN(AM66)-LEN(SUBSTITUTE(AM66,CHAR(10),""))),1)),AM66))</f>
        <v/>
      </c>
      <c r="AS66" s="62" t="str">
        <f aca="false">IFERROR(DATE(("20"&amp;MID(AQ66,7,2))*1,MID(AQ66,4,2)*1,MID(AQ66,1,2)*1),"")</f>
        <v/>
      </c>
      <c r="AT66" s="62" t="str">
        <f aca="false">IFERROR(DATE(("20"&amp;MID(AR66,7,2))*1,MID(AR66,4,2)*1,MID(AR66,1,2)*1),"")</f>
        <v/>
      </c>
      <c r="AU66" s="56" t="s">
        <v>450</v>
      </c>
    </row>
    <row r="67" customFormat="false" ht="12.75" hidden="false" customHeight="true" outlineLevel="0" collapsed="false">
      <c r="A67" s="63"/>
      <c r="B67" s="49" t="str">
        <f aca="false">IF(AH67="","tbc",AH67)</f>
        <v>tbc</v>
      </c>
      <c r="C67" s="49" t="str">
        <f aca="false">IF(AI67="","VNT",AI67)</f>
        <v>VNT</v>
      </c>
      <c r="D67" s="49" t="n">
        <f aca="false">MAX(X67,IF(AT67="none",X67,AT67))</f>
        <v>0</v>
      </c>
      <c r="E67" s="50" t="n">
        <f aca="false">IFERROR(DAYS360(X67,D67),0)</f>
        <v>0</v>
      </c>
      <c r="F67" s="50" t="n">
        <f aca="false">((LEN($AN67)-LEN(SUBSTITUTE($AN67,CHAR(10)&amp;". ","")))/3)+IF(LEFT(TRIM($AN67),2)=". ",1,0)</f>
        <v>0</v>
      </c>
      <c r="G67" s="50" t="n">
        <f aca="false">((LEN($AN67)-LEN(SUBSTITUTE($AN67,CHAR(10)&amp;"/ ","")))/3)+IF(LEFT(TRIM($AN67),2)="/ ",1,0)</f>
        <v>0</v>
      </c>
      <c r="H67" s="50" t="n">
        <f aca="false">((LEN($AN67)-LEN(SUBSTITUTE($AN67,CHAR(10)&amp;"~ ","")))/3)+IF(LEFT(TRIM($AN67),2)="~ ",1,0)</f>
        <v>0</v>
      </c>
      <c r="I67" s="50" t="n">
        <f aca="false">((LEN($AN67)-LEN(SUBSTITUTE($AN67,CHAR(10)&amp;"! ","")))/3)+IF(LEFT(TRIM($AN67),2)="! ",1,0)</f>
        <v>0</v>
      </c>
      <c r="J67" s="50" t="n">
        <f aca="false">((LEN($AN67)-LEN(SUBSTITUTE($AN67,CHAR(10)&amp;"x ","")))/3)+IF(LEFT(TRIM($AN67),2)="x ",1,0)</f>
        <v>0</v>
      </c>
      <c r="K67" s="50" t="n">
        <f aca="false">SUM(F67:J67)</f>
        <v>0</v>
      </c>
      <c r="L67" s="51" t="n">
        <f aca="false">YEAR(D67)</f>
        <v>1899</v>
      </c>
      <c r="M67" s="51" t="str">
        <f aca="false">VLOOKUP(MONTH(D67),Static!$AJ$3:$AK$16,2,0)</f>
        <v>Dec</v>
      </c>
      <c r="N67" s="51" t="n">
        <f aca="false">WEEKNUM(D67,1)</f>
        <v>52</v>
      </c>
      <c r="O67" s="51" t="str">
        <f aca="false">IFERROR(INDEX(Static!$I$5:$L$15,MATCH(AA67,Static!$I$5:$I$15,0),3),"Z")</f>
        <v>Z</v>
      </c>
      <c r="P67" s="51" t="str">
        <f aca="false">IFERROR(INDEX(Static!$I$5:$L$15,MATCH(AA67,Static!$I$5:$I$15,0),4),"Y")</f>
        <v>Y</v>
      </c>
      <c r="Q67" s="51" t="str">
        <f aca="false">IF(D67&gt;(($A$14-WEEKDAY($A$14,2))-7*$D$15),"Y","N")</f>
        <v>N</v>
      </c>
      <c r="R67" s="49" t="str">
        <f aca="false">IF(AB67&lt;&gt;"","Y","N")</f>
        <v>N</v>
      </c>
      <c r="S67" s="51" t="str">
        <f aca="false">IF(AND(Q67="Y",R67="N"),"Y","N")</f>
        <v>N</v>
      </c>
      <c r="T67" s="49" t="str">
        <f aca="false">IF(OR(Y67="Y",Y67="N"),Y67,IF(AND(P67="Y", OR(Q67="Y",S67="Y")),"Y","N"))</f>
        <v>N</v>
      </c>
      <c r="U67" s="51" t="str">
        <f aca="false">"Y"</f>
        <v>Y</v>
      </c>
      <c r="V67" s="53" t="str">
        <f aca="false">" -  "&amp;O67&amp;AJ67&amp;AK67&amp;AB67</f>
        <v>-  Z</v>
      </c>
      <c r="W67" s="51" t="str">
        <f aca="false">IFERROR(VLOOKUP(WEEKDAY(X67),Static!$AL$3:$AM$11,2,0),"")</f>
        <v>Sat</v>
      </c>
      <c r="X67" s="49" t="n">
        <f aca="false">IF(AD67&lt;&gt;"",AS67,0)</f>
        <v>0</v>
      </c>
      <c r="Y67" s="54"/>
      <c r="Z67" s="54"/>
      <c r="AA67" s="79"/>
      <c r="AB67" s="56"/>
      <c r="AC67" s="56"/>
      <c r="AD67" s="54"/>
      <c r="AE67" s="80"/>
      <c r="AF67" s="57"/>
      <c r="AG67" s="81" t="str">
        <f aca="false">IF(AB67="","",AE67*AF67/8)</f>
        <v/>
      </c>
      <c r="AH67" s="54"/>
      <c r="AI67" s="54"/>
      <c r="AJ67" s="54"/>
      <c r="AK67" s="82"/>
      <c r="AL67" s="58"/>
      <c r="AM67" s="56"/>
      <c r="AN67" s="58"/>
      <c r="AO67" s="51" t="n">
        <f aca="false">SUM(F67:I67)</f>
        <v>0</v>
      </c>
      <c r="AP67" s="59" t="n">
        <f aca="false">IF(AB67="",1,IF(K67&lt;&gt;0,(G67*0.5+J67)/K67,1))</f>
        <v>1</v>
      </c>
      <c r="AQ67" s="60" t="str">
        <f aca="false">IF(AM67="","",IF(ISERROR(FIND(CHAR(10),AM67,1)),AM67,LEFT(AM67,FIND(CHAR(10),AM67,1))))</f>
        <v/>
      </c>
      <c r="AR67" s="61" t="str">
        <f aca="false">IF(AM67="","",IFERROR(RIGHT(AM67,LEN(AM67)-FIND("@@@",SUBSTITUTE(AM67,CHAR(10),"@@@",LEN(AM67)-LEN(SUBSTITUTE(AM67,CHAR(10),""))),1)),AM67))</f>
        <v/>
      </c>
      <c r="AS67" s="62" t="str">
        <f aca="false">IFERROR(DATE(("20"&amp;MID(AQ67,7,2))*1,MID(AQ67,4,2)*1,MID(AQ67,1,2)*1),"")</f>
        <v/>
      </c>
      <c r="AT67" s="62" t="str">
        <f aca="false">IFERROR(DATE(("20"&amp;MID(AR67,7,2))*1,MID(AR67,4,2)*1,MID(AR67,1,2)*1),"")</f>
        <v/>
      </c>
      <c r="AU67" s="56" t="s">
        <v>450</v>
      </c>
    </row>
    <row r="68" customFormat="false" ht="12.75" hidden="false" customHeight="true" outlineLevel="0" collapsed="false">
      <c r="A68" s="63"/>
      <c r="B68" s="49" t="str">
        <f aca="false">IF(AH68="","tbc",AH68)</f>
        <v>tbc</v>
      </c>
      <c r="C68" s="49" t="str">
        <f aca="false">IF(AI68="","VNT",AI68)</f>
        <v>VNT</v>
      </c>
      <c r="D68" s="49" t="n">
        <f aca="false">MAX(X68,IF(AT68="none",X68,AT68))</f>
        <v>0</v>
      </c>
      <c r="E68" s="50" t="n">
        <f aca="false">IFERROR(DAYS360(X68,D68),0)</f>
        <v>0</v>
      </c>
      <c r="F68" s="50" t="n">
        <f aca="false">((LEN($AN68)-LEN(SUBSTITUTE($AN68,CHAR(10)&amp;". ","")))/3)+IF(LEFT(TRIM($AN68),2)=". ",1,0)</f>
        <v>0</v>
      </c>
      <c r="G68" s="50" t="n">
        <f aca="false">((LEN($AN68)-LEN(SUBSTITUTE($AN68,CHAR(10)&amp;"/ ","")))/3)+IF(LEFT(TRIM($AN68),2)="/ ",1,0)</f>
        <v>0</v>
      </c>
      <c r="H68" s="50" t="n">
        <f aca="false">((LEN($AN68)-LEN(SUBSTITUTE($AN68,CHAR(10)&amp;"~ ","")))/3)+IF(LEFT(TRIM($AN68),2)="~ ",1,0)</f>
        <v>0</v>
      </c>
      <c r="I68" s="50" t="n">
        <f aca="false">((LEN($AN68)-LEN(SUBSTITUTE($AN68,CHAR(10)&amp;"! ","")))/3)+IF(LEFT(TRIM($AN68),2)="! ",1,0)</f>
        <v>0</v>
      </c>
      <c r="J68" s="50" t="n">
        <f aca="false">((LEN($AN68)-LEN(SUBSTITUTE($AN68,CHAR(10)&amp;"x ","")))/3)+IF(LEFT(TRIM($AN68),2)="x ",1,0)</f>
        <v>0</v>
      </c>
      <c r="K68" s="50" t="n">
        <f aca="false">SUM(F68:J68)</f>
        <v>0</v>
      </c>
      <c r="L68" s="51" t="n">
        <f aca="false">YEAR(D68)</f>
        <v>1899</v>
      </c>
      <c r="M68" s="51" t="str">
        <f aca="false">VLOOKUP(MONTH(D68),Static!$AJ$3:$AK$16,2,0)</f>
        <v>Dec</v>
      </c>
      <c r="N68" s="51" t="n">
        <f aca="false">WEEKNUM(D68,1)</f>
        <v>52</v>
      </c>
      <c r="O68" s="51" t="str">
        <f aca="false">IFERROR(INDEX(Static!$I$5:$L$15,MATCH(AA68,Static!$I$5:$I$15,0),3),"Z")</f>
        <v>Z</v>
      </c>
      <c r="P68" s="51" t="str">
        <f aca="false">IFERROR(INDEX(Static!$I$5:$L$15,MATCH(AA68,Static!$I$5:$I$15,0),4),"Y")</f>
        <v>Y</v>
      </c>
      <c r="Q68" s="51" t="str">
        <f aca="false">IF(D68&gt;(($A$14-WEEKDAY($A$14,2))-7*$D$15),"Y","N")</f>
        <v>N</v>
      </c>
      <c r="R68" s="49" t="str">
        <f aca="false">IF(AB68&lt;&gt;"","Y","N")</f>
        <v>N</v>
      </c>
      <c r="S68" s="51" t="str">
        <f aca="false">IF(AND(Q68="Y",R68="N"),"Y","N")</f>
        <v>N</v>
      </c>
      <c r="T68" s="49" t="str">
        <f aca="false">IF(OR(Y68="Y",Y68="N"),Y68,IF(AND(P68="Y", OR(Q68="Y",S68="Y")),"Y","N"))</f>
        <v>N</v>
      </c>
      <c r="U68" s="51" t="str">
        <f aca="false">"Y"</f>
        <v>Y</v>
      </c>
      <c r="V68" s="53" t="str">
        <f aca="false">" -  "&amp;O68&amp;AJ68&amp;AK68&amp;AB68</f>
        <v>-  Z</v>
      </c>
      <c r="W68" s="51" t="str">
        <f aca="false">IFERROR(VLOOKUP(WEEKDAY(X68),Static!$AL$3:$AM$11,2,0),"")</f>
        <v>Sat</v>
      </c>
      <c r="X68" s="49" t="n">
        <f aca="false">IF(AD68&lt;&gt;"",AS68,0)</f>
        <v>0</v>
      </c>
      <c r="Y68" s="54"/>
      <c r="Z68" s="54"/>
      <c r="AA68" s="79"/>
      <c r="AB68" s="56"/>
      <c r="AC68" s="56"/>
      <c r="AD68" s="54"/>
      <c r="AE68" s="80"/>
      <c r="AF68" s="57"/>
      <c r="AG68" s="81" t="str">
        <f aca="false">IF(AB68="","",AE68*AF68/8)</f>
        <v/>
      </c>
      <c r="AH68" s="54"/>
      <c r="AI68" s="54"/>
      <c r="AJ68" s="54"/>
      <c r="AK68" s="82"/>
      <c r="AL68" s="58"/>
      <c r="AM68" s="56"/>
      <c r="AN68" s="58"/>
      <c r="AO68" s="51" t="n">
        <f aca="false">SUM(F68:I68)</f>
        <v>0</v>
      </c>
      <c r="AP68" s="59" t="n">
        <f aca="false">IF(AB68="",1,IF(K68&lt;&gt;0,(G68*0.5+J68)/K68,1))</f>
        <v>1</v>
      </c>
      <c r="AQ68" s="60" t="str">
        <f aca="false">IF(AM68="","",IF(ISERROR(FIND(CHAR(10),AM68,1)),AM68,LEFT(AM68,FIND(CHAR(10),AM68,1))))</f>
        <v/>
      </c>
      <c r="AR68" s="61" t="str">
        <f aca="false">IF(AM68="","",IFERROR(RIGHT(AM68,LEN(AM68)-FIND("@@@",SUBSTITUTE(AM68,CHAR(10),"@@@",LEN(AM68)-LEN(SUBSTITUTE(AM68,CHAR(10),""))),1)),AM68))</f>
        <v/>
      </c>
      <c r="AS68" s="62" t="str">
        <f aca="false">IFERROR(DATE(("20"&amp;MID(AQ68,7,2))*1,MID(AQ68,4,2)*1,MID(AQ68,1,2)*1),"")</f>
        <v/>
      </c>
      <c r="AT68" s="62" t="str">
        <f aca="false">IFERROR(DATE(("20"&amp;MID(AR68,7,2))*1,MID(AR68,4,2)*1,MID(AR68,1,2)*1),"")</f>
        <v/>
      </c>
      <c r="AU68" s="56" t="s">
        <v>450</v>
      </c>
    </row>
    <row r="69" customFormat="false" ht="12.75" hidden="false" customHeight="true" outlineLevel="0" collapsed="false">
      <c r="A69" s="63"/>
      <c r="B69" s="49" t="str">
        <f aca="false">IF(AH69="","tbc",AH69)</f>
        <v>tbc</v>
      </c>
      <c r="C69" s="49" t="str">
        <f aca="false">IF(AI69="","VNT",AI69)</f>
        <v>VNT</v>
      </c>
      <c r="D69" s="49" t="n">
        <f aca="false">MAX(X69,IF(AT69="none",X69,AT69))</f>
        <v>0</v>
      </c>
      <c r="E69" s="50" t="n">
        <f aca="false">IFERROR(DAYS360(X69,D69),0)</f>
        <v>0</v>
      </c>
      <c r="F69" s="50" t="n">
        <f aca="false">((LEN($AN69)-LEN(SUBSTITUTE($AN69,CHAR(10)&amp;". ","")))/3)+IF(LEFT(TRIM($AN69),2)=". ",1,0)</f>
        <v>0</v>
      </c>
      <c r="G69" s="50" t="n">
        <f aca="false">((LEN($AN69)-LEN(SUBSTITUTE($AN69,CHAR(10)&amp;"/ ","")))/3)+IF(LEFT(TRIM($AN69),2)="/ ",1,0)</f>
        <v>0</v>
      </c>
      <c r="H69" s="50" t="n">
        <f aca="false">((LEN($AN69)-LEN(SUBSTITUTE($AN69,CHAR(10)&amp;"~ ","")))/3)+IF(LEFT(TRIM($AN69),2)="~ ",1,0)</f>
        <v>0</v>
      </c>
      <c r="I69" s="50" t="n">
        <f aca="false">((LEN($AN69)-LEN(SUBSTITUTE($AN69,CHAR(10)&amp;"! ","")))/3)+IF(LEFT(TRIM($AN69),2)="! ",1,0)</f>
        <v>0</v>
      </c>
      <c r="J69" s="50" t="n">
        <f aca="false">((LEN($AN69)-LEN(SUBSTITUTE($AN69,CHAR(10)&amp;"x ","")))/3)+IF(LEFT(TRIM($AN69),2)="x ",1,0)</f>
        <v>0</v>
      </c>
      <c r="K69" s="50" t="n">
        <f aca="false">SUM(F69:J69)</f>
        <v>0</v>
      </c>
      <c r="L69" s="51" t="n">
        <f aca="false">YEAR(D69)</f>
        <v>1899</v>
      </c>
      <c r="M69" s="51" t="str">
        <f aca="false">VLOOKUP(MONTH(D69),Static!$AJ$3:$AK$16,2,0)</f>
        <v>Dec</v>
      </c>
      <c r="N69" s="51" t="n">
        <f aca="false">WEEKNUM(D69,1)</f>
        <v>52</v>
      </c>
      <c r="O69" s="51" t="str">
        <f aca="false">IFERROR(INDEX(Static!$I$5:$L$15,MATCH(AA69,Static!$I$5:$I$15,0),3),"Z")</f>
        <v>Z</v>
      </c>
      <c r="P69" s="51" t="str">
        <f aca="false">IFERROR(INDEX(Static!$I$5:$L$15,MATCH(AA69,Static!$I$5:$I$15,0),4),"Y")</f>
        <v>Y</v>
      </c>
      <c r="Q69" s="51" t="str">
        <f aca="false">IF(D69&gt;(($A$14-WEEKDAY($A$14,2))-7*$D$15),"Y","N")</f>
        <v>N</v>
      </c>
      <c r="R69" s="49" t="str">
        <f aca="false">IF(AB69&lt;&gt;"","Y","N")</f>
        <v>N</v>
      </c>
      <c r="S69" s="51" t="str">
        <f aca="false">IF(AND(Q69="Y",R69="N"),"Y","N")</f>
        <v>N</v>
      </c>
      <c r="T69" s="49" t="str">
        <f aca="false">IF(OR(Y69="Y",Y69="N"),Y69,IF(AND(P69="Y", OR(Q69="Y",S69="Y")),"Y","N"))</f>
        <v>N</v>
      </c>
      <c r="U69" s="51" t="str">
        <f aca="false">"Y"</f>
        <v>Y</v>
      </c>
      <c r="V69" s="53" t="str">
        <f aca="false">" -  "&amp;O69&amp;AJ69&amp;AK69&amp;AB69</f>
        <v>-  Z</v>
      </c>
      <c r="W69" s="51" t="str">
        <f aca="false">IFERROR(VLOOKUP(WEEKDAY(X69),Static!$AL$3:$AM$11,2,0),"")</f>
        <v>Sat</v>
      </c>
      <c r="X69" s="49" t="n">
        <f aca="false">IF(AD69&lt;&gt;"",AS69,0)</f>
        <v>0</v>
      </c>
      <c r="Y69" s="54"/>
      <c r="Z69" s="54"/>
      <c r="AA69" s="79"/>
      <c r="AB69" s="56"/>
      <c r="AC69" s="56"/>
      <c r="AD69" s="54"/>
      <c r="AE69" s="80"/>
      <c r="AF69" s="57"/>
      <c r="AG69" s="81" t="str">
        <f aca="false">IF(AB69="","",AE69*AF69/8)</f>
        <v/>
      </c>
      <c r="AH69" s="54"/>
      <c r="AI69" s="54"/>
      <c r="AJ69" s="54"/>
      <c r="AK69" s="82"/>
      <c r="AL69" s="58"/>
      <c r="AM69" s="56"/>
      <c r="AN69" s="58"/>
      <c r="AO69" s="51" t="n">
        <f aca="false">SUM(F69:I69)</f>
        <v>0</v>
      </c>
      <c r="AP69" s="59" t="n">
        <f aca="false">IF(AB69="",1,IF(K69&lt;&gt;0,(G69*0.5+J69)/K69,1))</f>
        <v>1</v>
      </c>
      <c r="AQ69" s="60" t="str">
        <f aca="false">IF(AM69="","",IF(ISERROR(FIND(CHAR(10),AM69,1)),AM69,LEFT(AM69,FIND(CHAR(10),AM69,1))))</f>
        <v/>
      </c>
      <c r="AR69" s="61" t="str">
        <f aca="false">IF(AM69="","",IFERROR(RIGHT(AM69,LEN(AM69)-FIND("@@@",SUBSTITUTE(AM69,CHAR(10),"@@@",LEN(AM69)-LEN(SUBSTITUTE(AM69,CHAR(10),""))),1)),AM69))</f>
        <v/>
      </c>
      <c r="AS69" s="62" t="str">
        <f aca="false">IFERROR(DATE(("20"&amp;MID(AQ69,7,2))*1,MID(AQ69,4,2)*1,MID(AQ69,1,2)*1),"")</f>
        <v/>
      </c>
      <c r="AT69" s="62" t="str">
        <f aca="false">IFERROR(DATE(("20"&amp;MID(AR69,7,2))*1,MID(AR69,4,2)*1,MID(AR69,1,2)*1),"")</f>
        <v/>
      </c>
      <c r="AU69" s="56" t="s">
        <v>450</v>
      </c>
    </row>
    <row r="70" customFormat="false" ht="12.75" hidden="false" customHeight="true" outlineLevel="0" collapsed="false">
      <c r="A70" s="63"/>
      <c r="B70" s="49" t="str">
        <f aca="false">IF(AH70="","tbc",AH70)</f>
        <v>tbc</v>
      </c>
      <c r="C70" s="49" t="str">
        <f aca="false">IF(AI70="","VNT",AI70)</f>
        <v>VNT</v>
      </c>
      <c r="D70" s="49" t="n">
        <f aca="false">MAX(X70,IF(AT70="none",X70,AT70))</f>
        <v>0</v>
      </c>
      <c r="E70" s="50" t="n">
        <f aca="false">IFERROR(DAYS360(X70,D70),0)</f>
        <v>0</v>
      </c>
      <c r="F70" s="50" t="n">
        <f aca="false">((LEN($AN70)-LEN(SUBSTITUTE($AN70,CHAR(10)&amp;". ","")))/3)+IF(LEFT(TRIM($AN70),2)=". ",1,0)</f>
        <v>0</v>
      </c>
      <c r="G70" s="50" t="n">
        <f aca="false">((LEN($AN70)-LEN(SUBSTITUTE($AN70,CHAR(10)&amp;"/ ","")))/3)+IF(LEFT(TRIM($AN70),2)="/ ",1,0)</f>
        <v>0</v>
      </c>
      <c r="H70" s="50" t="n">
        <f aca="false">((LEN($AN70)-LEN(SUBSTITUTE($AN70,CHAR(10)&amp;"~ ","")))/3)+IF(LEFT(TRIM($AN70),2)="~ ",1,0)</f>
        <v>0</v>
      </c>
      <c r="I70" s="50" t="n">
        <f aca="false">((LEN($AN70)-LEN(SUBSTITUTE($AN70,CHAR(10)&amp;"! ","")))/3)+IF(LEFT(TRIM($AN70),2)="! ",1,0)</f>
        <v>0</v>
      </c>
      <c r="J70" s="50" t="n">
        <f aca="false">((LEN($AN70)-LEN(SUBSTITUTE($AN70,CHAR(10)&amp;"x ","")))/3)+IF(LEFT(TRIM($AN70),2)="x ",1,0)</f>
        <v>0</v>
      </c>
      <c r="K70" s="50" t="n">
        <f aca="false">SUM(F70:J70)</f>
        <v>0</v>
      </c>
      <c r="L70" s="51" t="n">
        <f aca="false">YEAR(D70)</f>
        <v>1899</v>
      </c>
      <c r="M70" s="51" t="str">
        <f aca="false">VLOOKUP(MONTH(D70),Static!$AJ$3:$AK$16,2,0)</f>
        <v>Dec</v>
      </c>
      <c r="N70" s="51" t="n">
        <f aca="false">WEEKNUM(D70,1)</f>
        <v>52</v>
      </c>
      <c r="O70" s="51" t="str">
        <f aca="false">IFERROR(INDEX(Static!$I$5:$L$15,MATCH(AA70,Static!$I$5:$I$15,0),3),"Z")</f>
        <v>Z</v>
      </c>
      <c r="P70" s="51" t="str">
        <f aca="false">IFERROR(INDEX(Static!$I$5:$L$15,MATCH(AA70,Static!$I$5:$I$15,0),4),"Y")</f>
        <v>Y</v>
      </c>
      <c r="Q70" s="51" t="str">
        <f aca="false">IF(D70&gt;(($A$14-WEEKDAY($A$14,2))-7*$D$15),"Y","N")</f>
        <v>N</v>
      </c>
      <c r="R70" s="49" t="str">
        <f aca="false">IF(AB70&lt;&gt;"","Y","N")</f>
        <v>N</v>
      </c>
      <c r="S70" s="51" t="str">
        <f aca="false">IF(AND(Q70="Y",R70="N"),"Y","N")</f>
        <v>N</v>
      </c>
      <c r="T70" s="49" t="str">
        <f aca="false">IF(OR(Y70="Y",Y70="N"),Y70,IF(AND(P70="Y", OR(Q70="Y",S70="Y")),"Y","N"))</f>
        <v>N</v>
      </c>
      <c r="U70" s="51" t="str">
        <f aca="false">"Y"</f>
        <v>Y</v>
      </c>
      <c r="V70" s="53" t="str">
        <f aca="false">" -  "&amp;O70&amp;AJ70&amp;AK70&amp;AB70</f>
        <v>-  Z</v>
      </c>
      <c r="W70" s="51" t="str">
        <f aca="false">IFERROR(VLOOKUP(WEEKDAY(X70),Static!$AL$3:$AM$11,2,0),"")</f>
        <v>Sat</v>
      </c>
      <c r="X70" s="49" t="n">
        <f aca="false">IF(AD70&lt;&gt;"",AS70,0)</f>
        <v>0</v>
      </c>
      <c r="Y70" s="54"/>
      <c r="Z70" s="54"/>
      <c r="AA70" s="79"/>
      <c r="AB70" s="56"/>
      <c r="AC70" s="56"/>
      <c r="AD70" s="54"/>
      <c r="AE70" s="80"/>
      <c r="AF70" s="57"/>
      <c r="AG70" s="81" t="str">
        <f aca="false">IF(AB70="","",AE70*AF70/8)</f>
        <v/>
      </c>
      <c r="AH70" s="54"/>
      <c r="AI70" s="54"/>
      <c r="AJ70" s="54"/>
      <c r="AK70" s="82"/>
      <c r="AL70" s="58"/>
      <c r="AM70" s="56"/>
      <c r="AN70" s="58"/>
      <c r="AO70" s="51" t="n">
        <f aca="false">SUM(F70:I70)</f>
        <v>0</v>
      </c>
      <c r="AP70" s="59" t="n">
        <f aca="false">IF(AB70="",1,IF(K70&lt;&gt;0,(G70*0.5+J70)/K70,1))</f>
        <v>1</v>
      </c>
      <c r="AQ70" s="60" t="str">
        <f aca="false">IF(AM70="","",IF(ISERROR(FIND(CHAR(10),AM70,1)),AM70,LEFT(AM70,FIND(CHAR(10),AM70,1))))</f>
        <v/>
      </c>
      <c r="AR70" s="61" t="str">
        <f aca="false">IF(AM70="","",IFERROR(RIGHT(AM70,LEN(AM70)-FIND("@@@",SUBSTITUTE(AM70,CHAR(10),"@@@",LEN(AM70)-LEN(SUBSTITUTE(AM70,CHAR(10),""))),1)),AM70))</f>
        <v/>
      </c>
      <c r="AS70" s="62" t="str">
        <f aca="false">IFERROR(DATE(("20"&amp;MID(AQ70,7,2))*1,MID(AQ70,4,2)*1,MID(AQ70,1,2)*1),"")</f>
        <v/>
      </c>
      <c r="AT70" s="62" t="str">
        <f aca="false">IFERROR(DATE(("20"&amp;MID(AR70,7,2))*1,MID(AR70,4,2)*1,MID(AR70,1,2)*1),"")</f>
        <v/>
      </c>
      <c r="AU70" s="56" t="s">
        <v>450</v>
      </c>
    </row>
    <row r="71" customFormat="false" ht="12.75" hidden="false" customHeight="true" outlineLevel="0" collapsed="false">
      <c r="A71" s="63"/>
      <c r="B71" s="49" t="str">
        <f aca="false">IF(AH71="","tbc",AH71)</f>
        <v>tbc</v>
      </c>
      <c r="C71" s="49" t="str">
        <f aca="false">IF(AI71="","VNT",AI71)</f>
        <v>VNT</v>
      </c>
      <c r="D71" s="49" t="n">
        <f aca="false">MAX(X71,IF(AT71="none",X71,AT71))</f>
        <v>0</v>
      </c>
      <c r="E71" s="50" t="n">
        <f aca="false">IFERROR(DAYS360(X71,D71),0)</f>
        <v>0</v>
      </c>
      <c r="F71" s="50" t="n">
        <f aca="false">((LEN($AN71)-LEN(SUBSTITUTE($AN71,CHAR(10)&amp;". ","")))/3)+IF(LEFT(TRIM($AN71),2)=". ",1,0)</f>
        <v>0</v>
      </c>
      <c r="G71" s="50" t="n">
        <f aca="false">((LEN($AN71)-LEN(SUBSTITUTE($AN71,CHAR(10)&amp;"/ ","")))/3)+IF(LEFT(TRIM($AN71),2)="/ ",1,0)</f>
        <v>0</v>
      </c>
      <c r="H71" s="50" t="n">
        <f aca="false">((LEN($AN71)-LEN(SUBSTITUTE($AN71,CHAR(10)&amp;"~ ","")))/3)+IF(LEFT(TRIM($AN71),2)="~ ",1,0)</f>
        <v>0</v>
      </c>
      <c r="I71" s="50" t="n">
        <f aca="false">((LEN($AN71)-LEN(SUBSTITUTE($AN71,CHAR(10)&amp;"! ","")))/3)+IF(LEFT(TRIM($AN71),2)="! ",1,0)</f>
        <v>0</v>
      </c>
      <c r="J71" s="50" t="n">
        <f aca="false">((LEN($AN71)-LEN(SUBSTITUTE($AN71,CHAR(10)&amp;"x ","")))/3)+IF(LEFT(TRIM($AN71),2)="x ",1,0)</f>
        <v>0</v>
      </c>
      <c r="K71" s="50" t="n">
        <f aca="false">SUM(F71:J71)</f>
        <v>0</v>
      </c>
      <c r="L71" s="51" t="n">
        <f aca="false">YEAR(D71)</f>
        <v>1899</v>
      </c>
      <c r="M71" s="51" t="str">
        <f aca="false">VLOOKUP(MONTH(D71),Static!$AJ$3:$AK$16,2,0)</f>
        <v>Dec</v>
      </c>
      <c r="N71" s="51" t="n">
        <f aca="false">WEEKNUM(D71,1)</f>
        <v>52</v>
      </c>
      <c r="O71" s="51" t="str">
        <f aca="false">IFERROR(INDEX(Static!$I$5:$L$15,MATCH(AA71,Static!$I$5:$I$15,0),3),"Z")</f>
        <v>Z</v>
      </c>
      <c r="P71" s="51" t="str">
        <f aca="false">IFERROR(INDEX(Static!$I$5:$L$15,MATCH(AA71,Static!$I$5:$I$15,0),4),"Y")</f>
        <v>Y</v>
      </c>
      <c r="Q71" s="51" t="str">
        <f aca="false">IF(D71&gt;(($A$14-WEEKDAY($A$14,2))-7*$D$15),"Y","N")</f>
        <v>N</v>
      </c>
      <c r="R71" s="49" t="str">
        <f aca="false">IF(AB71&lt;&gt;"","Y","N")</f>
        <v>N</v>
      </c>
      <c r="S71" s="51" t="str">
        <f aca="false">IF(AND(Q71="Y",R71="N"),"Y","N")</f>
        <v>N</v>
      </c>
      <c r="T71" s="49" t="str">
        <f aca="false">IF(OR(Y71="Y",Y71="N"),Y71,IF(AND(P71="Y", OR(Q71="Y",S71="Y")),"Y","N"))</f>
        <v>N</v>
      </c>
      <c r="U71" s="51" t="str">
        <f aca="false">"Y"</f>
        <v>Y</v>
      </c>
      <c r="V71" s="53" t="str">
        <f aca="false">" -  "&amp;O71&amp;AJ71&amp;AK71&amp;AB71</f>
        <v>-  Z</v>
      </c>
      <c r="W71" s="51" t="str">
        <f aca="false">IFERROR(VLOOKUP(WEEKDAY(X71),Static!$AL$3:$AM$11,2,0),"")</f>
        <v>Sat</v>
      </c>
      <c r="X71" s="49" t="n">
        <f aca="false">IF(AD71&lt;&gt;"",AS71,0)</f>
        <v>0</v>
      </c>
      <c r="Y71" s="54"/>
      <c r="Z71" s="54"/>
      <c r="AA71" s="79"/>
      <c r="AB71" s="56"/>
      <c r="AC71" s="56"/>
      <c r="AD71" s="54"/>
      <c r="AE71" s="80"/>
      <c r="AF71" s="57"/>
      <c r="AG71" s="81" t="str">
        <f aca="false">IF(AB71="","",AE71*AF71/8)</f>
        <v/>
      </c>
      <c r="AH71" s="54"/>
      <c r="AI71" s="54"/>
      <c r="AJ71" s="54"/>
      <c r="AK71" s="82"/>
      <c r="AL71" s="58"/>
      <c r="AM71" s="56"/>
      <c r="AN71" s="58"/>
      <c r="AO71" s="51" t="n">
        <f aca="false">SUM(F71:I71)</f>
        <v>0</v>
      </c>
      <c r="AP71" s="59" t="n">
        <f aca="false">IF(AB71="",1,IF(K71&lt;&gt;0,(G71*0.5+J71)/K71,1))</f>
        <v>1</v>
      </c>
      <c r="AQ71" s="60" t="str">
        <f aca="false">IF(AM71="","",IF(ISERROR(FIND(CHAR(10),AM71,1)),AM71,LEFT(AM71,FIND(CHAR(10),AM71,1))))</f>
        <v/>
      </c>
      <c r="AR71" s="61" t="str">
        <f aca="false">IF(AM71="","",IFERROR(RIGHT(AM71,LEN(AM71)-FIND("@@@",SUBSTITUTE(AM71,CHAR(10),"@@@",LEN(AM71)-LEN(SUBSTITUTE(AM71,CHAR(10),""))),1)),AM71))</f>
        <v/>
      </c>
      <c r="AS71" s="62" t="str">
        <f aca="false">IFERROR(DATE(("20"&amp;MID(AQ71,7,2))*1,MID(AQ71,4,2)*1,MID(AQ71,1,2)*1),"")</f>
        <v/>
      </c>
      <c r="AT71" s="62" t="str">
        <f aca="false">IFERROR(DATE(("20"&amp;MID(AR71,7,2))*1,MID(AR71,4,2)*1,MID(AR71,1,2)*1),"")</f>
        <v/>
      </c>
      <c r="AU71" s="56" t="s">
        <v>450</v>
      </c>
    </row>
    <row r="72" customFormat="false" ht="12.75" hidden="false" customHeight="true" outlineLevel="0" collapsed="false">
      <c r="A72" s="63"/>
      <c r="B72" s="49" t="str">
        <f aca="false">IF(AH72="","tbc",AH72)</f>
        <v>tbc</v>
      </c>
      <c r="C72" s="49" t="str">
        <f aca="false">IF(AI72="","VNT",AI72)</f>
        <v>VNT</v>
      </c>
      <c r="D72" s="49" t="n">
        <f aca="false">MAX(X72,IF(AT72="none",X72,AT72))</f>
        <v>0</v>
      </c>
      <c r="E72" s="50" t="n">
        <f aca="false">IFERROR(DAYS360(X72,D72),0)</f>
        <v>0</v>
      </c>
      <c r="F72" s="50" t="n">
        <f aca="false">((LEN($AN72)-LEN(SUBSTITUTE($AN72,CHAR(10)&amp;". ","")))/3)+IF(LEFT(TRIM($AN72),2)=". ",1,0)</f>
        <v>0</v>
      </c>
      <c r="G72" s="50" t="n">
        <f aca="false">((LEN($AN72)-LEN(SUBSTITUTE($AN72,CHAR(10)&amp;"/ ","")))/3)+IF(LEFT(TRIM($AN72),2)="/ ",1,0)</f>
        <v>0</v>
      </c>
      <c r="H72" s="50" t="n">
        <f aca="false">((LEN($AN72)-LEN(SUBSTITUTE($AN72,CHAR(10)&amp;"~ ","")))/3)+IF(LEFT(TRIM($AN72),2)="~ ",1,0)</f>
        <v>0</v>
      </c>
      <c r="I72" s="50" t="n">
        <f aca="false">((LEN($AN72)-LEN(SUBSTITUTE($AN72,CHAR(10)&amp;"! ","")))/3)+IF(LEFT(TRIM($AN72),2)="! ",1,0)</f>
        <v>0</v>
      </c>
      <c r="J72" s="50" t="n">
        <f aca="false">((LEN($AN72)-LEN(SUBSTITUTE($AN72,CHAR(10)&amp;"x ","")))/3)+IF(LEFT(TRIM($AN72),2)="x ",1,0)</f>
        <v>0</v>
      </c>
      <c r="K72" s="50" t="n">
        <f aca="false">SUM(F72:J72)</f>
        <v>0</v>
      </c>
      <c r="L72" s="51" t="n">
        <f aca="false">YEAR(D72)</f>
        <v>1899</v>
      </c>
      <c r="M72" s="51" t="str">
        <f aca="false">VLOOKUP(MONTH(D72),Static!$AJ$3:$AK$16,2,0)</f>
        <v>Dec</v>
      </c>
      <c r="N72" s="51" t="n">
        <f aca="false">WEEKNUM(D72,1)</f>
        <v>52</v>
      </c>
      <c r="O72" s="51" t="str">
        <f aca="false">IFERROR(INDEX(Static!$I$5:$L$15,MATCH(AA72,Static!$I$5:$I$15,0),3),"Z")</f>
        <v>Z</v>
      </c>
      <c r="P72" s="51" t="str">
        <f aca="false">IFERROR(INDEX(Static!$I$5:$L$15,MATCH(AA72,Static!$I$5:$I$15,0),4),"Y")</f>
        <v>Y</v>
      </c>
      <c r="Q72" s="51" t="str">
        <f aca="false">IF(D72&gt;(($A$14-WEEKDAY($A$14,2))-7*$D$15),"Y","N")</f>
        <v>N</v>
      </c>
      <c r="R72" s="49" t="str">
        <f aca="false">IF(AB72&lt;&gt;"","Y","N")</f>
        <v>N</v>
      </c>
      <c r="S72" s="51" t="str">
        <f aca="false">IF(AND(Q72="Y",R72="N"),"Y","N")</f>
        <v>N</v>
      </c>
      <c r="T72" s="49" t="str">
        <f aca="false">IF(OR(Y72="Y",Y72="N"),Y72,IF(AND(P72="Y", OR(Q72="Y",S72="Y")),"Y","N"))</f>
        <v>N</v>
      </c>
      <c r="U72" s="51" t="str">
        <f aca="false">"Y"</f>
        <v>Y</v>
      </c>
      <c r="V72" s="53" t="str">
        <f aca="false">" -  "&amp;O72&amp;AJ72&amp;AK72&amp;AB72</f>
        <v>-  Z</v>
      </c>
      <c r="W72" s="51" t="str">
        <f aca="false">IFERROR(VLOOKUP(WEEKDAY(X72),Static!$AL$3:$AM$11,2,0),"")</f>
        <v>Sat</v>
      </c>
      <c r="X72" s="49" t="n">
        <f aca="false">IF(AD72&lt;&gt;"",AS72,0)</f>
        <v>0</v>
      </c>
      <c r="Y72" s="54"/>
      <c r="Z72" s="54"/>
      <c r="AA72" s="79"/>
      <c r="AB72" s="56"/>
      <c r="AC72" s="56"/>
      <c r="AD72" s="54"/>
      <c r="AE72" s="80"/>
      <c r="AF72" s="57"/>
      <c r="AG72" s="81" t="str">
        <f aca="false">IF(AB72="","",AE72*AF72/8)</f>
        <v/>
      </c>
      <c r="AH72" s="54"/>
      <c r="AI72" s="54"/>
      <c r="AJ72" s="54"/>
      <c r="AK72" s="82"/>
      <c r="AL72" s="58"/>
      <c r="AM72" s="58"/>
      <c r="AN72" s="56"/>
      <c r="AO72" s="51" t="n">
        <f aca="false">SUM(F72:I72)</f>
        <v>0</v>
      </c>
      <c r="AP72" s="59" t="n">
        <f aca="false">IF(AB72="",1,IF(K72&lt;&gt;0,(G72*0.5+J72)/K72,1))</f>
        <v>1</v>
      </c>
      <c r="AQ72" s="64" t="str">
        <f aca="false">IF(AM72="","",IF(ISERROR(FIND(CHAR(10),AM72,1)),AM72,LEFT(AM72,FIND(CHAR(10),AM72,1))))</f>
        <v/>
      </c>
      <c r="AR72" s="65" t="str">
        <f aca="false">IF(AM72="","",IFERROR(RIGHT(AM72,LEN(AM72)-FIND("@@@",SUBSTITUTE(AM72,CHAR(10),"@@@",LEN(AM72)-LEN(SUBSTITUTE(AM72,CHAR(10),""))),1)),AM72))</f>
        <v/>
      </c>
      <c r="AS72" s="62" t="str">
        <f aca="false">IFERROR(DATE(("20"&amp;MID(AQ72,7,2))*1,MID(AQ72,4,2)*1,MID(AQ72,1,2)*1),"")</f>
        <v/>
      </c>
      <c r="AT72" s="62" t="str">
        <f aca="false">IFERROR(DATE(("20"&amp;MID(AR72,7,2))*1,MID(AR72,4,2)*1,MID(AR72,1,2)*1),"")</f>
        <v/>
      </c>
      <c r="AU72" s="56" t="s">
        <v>450</v>
      </c>
    </row>
    <row r="73" customFormat="false" ht="12.75" hidden="false" customHeight="true" outlineLevel="0" collapsed="false">
      <c r="A73" s="63"/>
      <c r="B73" s="49" t="str">
        <f aca="false">IF(AH73="","tbc",AH73)</f>
        <v>tbc</v>
      </c>
      <c r="C73" s="49" t="str">
        <f aca="false">IF(AI73="","VNT",AI73)</f>
        <v>VNT</v>
      </c>
      <c r="D73" s="49" t="n">
        <f aca="false">MAX(X73,IF(AT73="none",X73,AT73))</f>
        <v>0</v>
      </c>
      <c r="E73" s="50" t="n">
        <f aca="false">IFERROR(DAYS360(X73,D73),0)</f>
        <v>0</v>
      </c>
      <c r="F73" s="50" t="n">
        <f aca="false">((LEN($AN73)-LEN(SUBSTITUTE($AN73,CHAR(10)&amp;". ","")))/3)+IF(LEFT(TRIM($AN73),2)=". ",1,0)</f>
        <v>0</v>
      </c>
      <c r="G73" s="50" t="n">
        <f aca="false">((LEN($AN73)-LEN(SUBSTITUTE($AN73,CHAR(10)&amp;"/ ","")))/3)+IF(LEFT(TRIM($AN73),2)="/ ",1,0)</f>
        <v>0</v>
      </c>
      <c r="H73" s="50" t="n">
        <f aca="false">((LEN($AN73)-LEN(SUBSTITUTE($AN73,CHAR(10)&amp;"~ ","")))/3)+IF(LEFT(TRIM($AN73),2)="~ ",1,0)</f>
        <v>0</v>
      </c>
      <c r="I73" s="50" t="n">
        <f aca="false">((LEN($AN73)-LEN(SUBSTITUTE($AN73,CHAR(10)&amp;"! ","")))/3)+IF(LEFT(TRIM($AN73),2)="! ",1,0)</f>
        <v>0</v>
      </c>
      <c r="J73" s="50" t="n">
        <f aca="false">((LEN($AN73)-LEN(SUBSTITUTE($AN73,CHAR(10)&amp;"x ","")))/3)+IF(LEFT(TRIM($AN73),2)="x ",1,0)</f>
        <v>0</v>
      </c>
      <c r="K73" s="50" t="n">
        <f aca="false">SUM(F73:J73)</f>
        <v>0</v>
      </c>
      <c r="L73" s="51" t="n">
        <f aca="false">YEAR(D73)</f>
        <v>1899</v>
      </c>
      <c r="M73" s="51" t="str">
        <f aca="false">VLOOKUP(MONTH(D73),Static!$AJ$3:$AK$16,2,0)</f>
        <v>Dec</v>
      </c>
      <c r="N73" s="51" t="n">
        <f aca="false">WEEKNUM(D73,1)</f>
        <v>52</v>
      </c>
      <c r="O73" s="51" t="str">
        <f aca="false">IFERROR(INDEX(Static!$I$5:$L$15,MATCH(AA73,Static!$I$5:$I$15,0),3),"Z")</f>
        <v>Z</v>
      </c>
      <c r="P73" s="51" t="str">
        <f aca="false">IFERROR(INDEX(Static!$I$5:$L$15,MATCH(AA73,Static!$I$5:$I$15,0),4),"Y")</f>
        <v>Y</v>
      </c>
      <c r="Q73" s="51" t="str">
        <f aca="false">IF(D73&gt;(($A$14-WEEKDAY($A$14,2))-7*$D$15),"Y","N")</f>
        <v>N</v>
      </c>
      <c r="R73" s="49" t="str">
        <f aca="false">IF(AB73&lt;&gt;"","Y","N")</f>
        <v>N</v>
      </c>
      <c r="S73" s="51" t="str">
        <f aca="false">IF(AND(Q73="Y",R73="N"),"Y","N")</f>
        <v>N</v>
      </c>
      <c r="T73" s="49" t="str">
        <f aca="false">IF(OR(Y73="Y",Y73="N"),Y73,IF(AND(P73="Y", OR(Q73="Y",S73="Y")),"Y","N"))</f>
        <v>N</v>
      </c>
      <c r="U73" s="51" t="str">
        <f aca="false">"Y"</f>
        <v>Y</v>
      </c>
      <c r="V73" s="53" t="str">
        <f aca="false">" -  "&amp;O73&amp;AJ73&amp;AK73&amp;AB73</f>
        <v>-  Z</v>
      </c>
      <c r="W73" s="51" t="str">
        <f aca="false">IFERROR(VLOOKUP(WEEKDAY(X73),Static!$AL$3:$AM$11,2,0),"")</f>
        <v>Sat</v>
      </c>
      <c r="X73" s="49" t="n">
        <f aca="false">IF(AD73&lt;&gt;"",AS73,0)</f>
        <v>0</v>
      </c>
      <c r="Y73" s="54"/>
      <c r="Z73" s="54"/>
      <c r="AA73" s="79"/>
      <c r="AB73" s="56"/>
      <c r="AC73" s="56"/>
      <c r="AD73" s="54"/>
      <c r="AE73" s="80"/>
      <c r="AF73" s="57"/>
      <c r="AG73" s="81" t="str">
        <f aca="false">IF(AB73="","",AE73*AF73/8)</f>
        <v/>
      </c>
      <c r="AH73" s="54"/>
      <c r="AI73" s="54"/>
      <c r="AJ73" s="54"/>
      <c r="AK73" s="82"/>
      <c r="AL73" s="58"/>
      <c r="AM73" s="56"/>
      <c r="AN73" s="56"/>
      <c r="AO73" s="51" t="n">
        <f aca="false">SUM(F73:I73)</f>
        <v>0</v>
      </c>
      <c r="AP73" s="59" t="n">
        <f aca="false">IF(AB73="",1,IF(K73&lt;&gt;0,(G73*0.5+J73)/K73,1))</f>
        <v>1</v>
      </c>
      <c r="AQ73" s="60" t="str">
        <f aca="false">IF(AM73="","",IF(ISERROR(FIND(CHAR(10),AM73,1)),AM73,LEFT(AM73,FIND(CHAR(10),AM73,1))))</f>
        <v/>
      </c>
      <c r="AR73" s="61" t="str">
        <f aca="false">IF(AM73="","",IFERROR(RIGHT(AM73,LEN(AM73)-FIND("@@@",SUBSTITUTE(AM73,CHAR(10),"@@@",LEN(AM73)-LEN(SUBSTITUTE(AM73,CHAR(10),""))),1)),AM73))</f>
        <v/>
      </c>
      <c r="AS73" s="62" t="str">
        <f aca="false">IFERROR(DATE(("20"&amp;MID(AQ73,7,2))*1,MID(AQ73,4,2)*1,MID(AQ73,1,2)*1),"")</f>
        <v/>
      </c>
      <c r="AT73" s="62" t="str">
        <f aca="false">IFERROR(DATE(("20"&amp;MID(AR73,7,2))*1,MID(AR73,4,2)*1,MID(AR73,1,2)*1),"")</f>
        <v/>
      </c>
      <c r="AU73" s="56" t="s">
        <v>450</v>
      </c>
    </row>
    <row r="74" customFormat="false" ht="12.75" hidden="false" customHeight="true" outlineLevel="0" collapsed="false">
      <c r="B74" s="49" t="str">
        <f aca="false">IF(AH74="","tbc",AH74)</f>
        <v>tbc</v>
      </c>
      <c r="C74" s="49" t="str">
        <f aca="false">IF(AI74="","VNT",AI74)</f>
        <v>VNT</v>
      </c>
      <c r="D74" s="49" t="n">
        <f aca="false">MAX(X74,IF(AT74="none",X74,AT74))</f>
        <v>0</v>
      </c>
      <c r="E74" s="50" t="n">
        <f aca="false">IFERROR(DAYS360(X74,D74),0)</f>
        <v>0</v>
      </c>
      <c r="F74" s="50" t="n">
        <f aca="false">((LEN($AN74)-LEN(SUBSTITUTE($AN74,CHAR(10)&amp;". ","")))/3)+IF(LEFT(TRIM($AN74),2)=". ",1,0)</f>
        <v>0</v>
      </c>
      <c r="G74" s="50" t="n">
        <f aca="false">((LEN($AN74)-LEN(SUBSTITUTE($AN74,CHAR(10)&amp;"/ ","")))/3)+IF(LEFT(TRIM($AN74),2)="/ ",1,0)</f>
        <v>0</v>
      </c>
      <c r="H74" s="50" t="n">
        <f aca="false">((LEN($AN74)-LEN(SUBSTITUTE($AN74,CHAR(10)&amp;"~ ","")))/3)+IF(LEFT(TRIM($AN74),2)="~ ",1,0)</f>
        <v>0</v>
      </c>
      <c r="I74" s="50" t="n">
        <f aca="false">((LEN($AN74)-LEN(SUBSTITUTE($AN74,CHAR(10)&amp;"! ","")))/3)+IF(LEFT(TRIM($AN74),2)="! ",1,0)</f>
        <v>0</v>
      </c>
      <c r="J74" s="50" t="n">
        <f aca="false">((LEN($AN74)-LEN(SUBSTITUTE($AN74,CHAR(10)&amp;"x ","")))/3)+IF(LEFT(TRIM($AN74),2)="x ",1,0)</f>
        <v>0</v>
      </c>
      <c r="K74" s="50" t="n">
        <f aca="false">SUM(F74:J74)</f>
        <v>0</v>
      </c>
      <c r="L74" s="51" t="n">
        <f aca="false">YEAR(D74)</f>
        <v>1899</v>
      </c>
      <c r="M74" s="51" t="str">
        <f aca="false">VLOOKUP(MONTH(D74),Static!$AJ$3:$AK$16,2,0)</f>
        <v>Dec</v>
      </c>
      <c r="N74" s="51" t="n">
        <f aca="false">WEEKNUM(D74,1)</f>
        <v>52</v>
      </c>
      <c r="O74" s="51" t="str">
        <f aca="false">IFERROR(INDEX(Static!$I$5:$L$15,MATCH(AA74,Static!$I$5:$I$15,0),3),"Z")</f>
        <v>Z</v>
      </c>
      <c r="P74" s="51" t="str">
        <f aca="false">IFERROR(INDEX(Static!$I$5:$L$15,MATCH(AA74,Static!$I$5:$I$15,0),4),"Y")</f>
        <v>Y</v>
      </c>
      <c r="Q74" s="51" t="str">
        <f aca="false">IF(D74&gt;(($A$14-WEEKDAY($A$14,2))-7*$D$15),"Y","N")</f>
        <v>N</v>
      </c>
      <c r="R74" s="49" t="str">
        <f aca="false">IF(AB74&lt;&gt;"","Y","N")</f>
        <v>N</v>
      </c>
      <c r="S74" s="51" t="str">
        <f aca="false">IF(AND(Q74="Y",R74="N"),"Y","N")</f>
        <v>N</v>
      </c>
      <c r="T74" s="49" t="str">
        <f aca="false">IF(OR(Y74="Y",Y74="N"),Y74,IF(AND(P74="Y", OR(Q74="Y",S74="Y")),"Y","N"))</f>
        <v>N</v>
      </c>
      <c r="U74" s="51" t="str">
        <f aca="false">"Y"</f>
        <v>Y</v>
      </c>
      <c r="V74" s="53" t="str">
        <f aca="false">" -  "&amp;O74&amp;AJ74&amp;AK74&amp;AB74</f>
        <v>-  Z</v>
      </c>
      <c r="W74" s="51" t="str">
        <f aca="false">IFERROR(VLOOKUP(WEEKDAY(X74),Static!$AL$3:$AM$11,2,0),"")</f>
        <v>Sat</v>
      </c>
      <c r="X74" s="49" t="n">
        <f aca="false">IF(AD74&lt;&gt;"",AS74,0)</f>
        <v>0</v>
      </c>
      <c r="Y74" s="54"/>
      <c r="Z74" s="54"/>
      <c r="AA74" s="79"/>
      <c r="AB74" s="56"/>
      <c r="AC74" s="56"/>
      <c r="AD74" s="54"/>
      <c r="AE74" s="80"/>
      <c r="AF74" s="57"/>
      <c r="AG74" s="81" t="str">
        <f aca="false">IF(AB74="","",AE74*AF74/8)</f>
        <v/>
      </c>
      <c r="AH74" s="54"/>
      <c r="AI74" s="54"/>
      <c r="AJ74" s="54"/>
      <c r="AK74" s="82"/>
      <c r="AL74" s="56"/>
      <c r="AM74" s="56"/>
      <c r="AN74" s="58"/>
      <c r="AO74" s="51" t="n">
        <f aca="false">SUM(F74:I74)</f>
        <v>0</v>
      </c>
      <c r="AP74" s="59" t="n">
        <f aca="false">IF(AB74="",1,IF(K74&lt;&gt;0,(G74*0.5+J74)/K74,1))</f>
        <v>1</v>
      </c>
      <c r="AQ74" s="60" t="str">
        <f aca="false">IF(AM74="","",IF(ISERROR(FIND(CHAR(10),AM74,1)),AM74,LEFT(AM74,FIND(CHAR(10),AM74,1))))</f>
        <v/>
      </c>
      <c r="AR74" s="61" t="str">
        <f aca="false">IF(AM74="","",IFERROR(RIGHT(AM74,LEN(AM74)-FIND("@@@",SUBSTITUTE(AM74,CHAR(10),"@@@",LEN(AM74)-LEN(SUBSTITUTE(AM74,CHAR(10),""))),1)),AM74))</f>
        <v/>
      </c>
      <c r="AS74" s="62" t="str">
        <f aca="false">IFERROR(DATE(("20"&amp;MID(AQ74,7,2))*1,MID(AQ74,4,2)*1,MID(AQ74,1,2)*1),"")</f>
        <v/>
      </c>
      <c r="AT74" s="62" t="str">
        <f aca="false">IFERROR(DATE(("20"&amp;MID(AR74,7,2))*1,MID(AR74,4,2)*1,MID(AR74,1,2)*1),"")</f>
        <v/>
      </c>
      <c r="AU74" s="56" t="s">
        <v>450</v>
      </c>
    </row>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sheetData>
  <autoFilter ref="A17:AU74"/>
  <conditionalFormatting sqref="AP18:AP74">
    <cfRule type="colorScale" priority="2">
      <colorScale>
        <cfvo type="num" val="0"/>
        <cfvo type="num" val="1"/>
        <color rgb="FFFF0000"/>
        <color rgb="FF00A933"/>
      </colorScale>
    </cfRule>
  </conditionalFormatting>
  <dataValidations count="5">
    <dataValidation allowBlank="true" errorStyle="stop" operator="equal" showDropDown="false" showErrorMessage="true" showInputMessage="false" sqref="AA18:AA74" type="list">
      <formula1>Static!$D$5:$D$12</formula1>
      <formula2>0</formula2>
    </dataValidation>
    <dataValidation allowBlank="true" errorStyle="stop" operator="equal" showDropDown="false" showErrorMessage="true" showInputMessage="false" sqref="Y18:Y74" type="list">
      <formula1>Static!$AI$5:$AI$7</formula1>
      <formula2>0</formula2>
    </dataValidation>
    <dataValidation allowBlank="true" errorStyle="stop" operator="equal" showDropDown="false" showErrorMessage="true" showInputMessage="false" sqref="AD18:AD74" type="list">
      <formula1>Static!$G$5:$G$14</formula1>
      <formula2>0</formula2>
    </dataValidation>
    <dataValidation allowBlank="true" errorStyle="stop" operator="equal" showDropDown="false" showErrorMessage="true" showInputMessage="false" sqref="AJ18:AJ74" type="list">
      <formula1>Static!$M$5:$P$5</formula1>
      <formula2>0</formula2>
    </dataValidation>
    <dataValidation allowBlank="true" errorStyle="stop" operator="equal" showDropDown="false" showErrorMessage="true" showInputMessage="false" sqref="AK18:AK74" type="list">
      <formula1>INDIRECT(AJ18)</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55"/>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0" ySplit="20" topLeftCell="AA21" activePane="bottomLeft" state="frozen"/>
      <selection pane="topLeft" activeCell="A1" activeCellId="0" sqref="A1"/>
      <selection pane="bottomLeft" activeCell="AU28" activeCellId="0" sqref="AU28"/>
    </sheetView>
  </sheetViews>
  <sheetFormatPr defaultColWidth="16.1484375" defaultRowHeight="12.8" zeroHeight="false" outlineLevelRow="1" outlineLevelCol="1"/>
  <cols>
    <col collapsed="false" customWidth="true" hidden="true" outlineLevel="1" max="1" min="1" style="2" width="2.16"/>
    <col collapsed="false" customWidth="true" hidden="true" outlineLevel="1" max="2" min="2" style="2" width="6.54"/>
    <col collapsed="false" customWidth="true" hidden="true" outlineLevel="1" max="3" min="3" style="31" width="10.28"/>
    <col collapsed="false" customWidth="true" hidden="true" outlineLevel="1" max="4" min="4" style="31" width="6.11"/>
    <col collapsed="false" customWidth="true" hidden="true" outlineLevel="1" max="5" min="5" style="2" width="6.54"/>
    <col collapsed="false" customWidth="true" hidden="true" outlineLevel="1" max="6" min="6" style="31" width="6.21"/>
    <col collapsed="false" customWidth="true" hidden="true" outlineLevel="1" max="7" min="7" style="31" width="9.32"/>
    <col collapsed="false" customWidth="true" hidden="true" outlineLevel="1" max="8" min="8" style="31" width="8.82"/>
    <col collapsed="false" customWidth="true" hidden="true" outlineLevel="1" max="9" min="9" style="31" width="8.33"/>
    <col collapsed="false" customWidth="true" hidden="true" outlineLevel="1" max="10" min="10" style="31" width="7.35"/>
    <col collapsed="false" customWidth="true" hidden="true" outlineLevel="1" max="11" min="11" style="31" width="8.82"/>
    <col collapsed="false" customWidth="true" hidden="true" outlineLevel="1" max="12" min="12" style="31" width="9.47"/>
    <col collapsed="false" customWidth="true" hidden="true" outlineLevel="1" max="13" min="13" style="31" width="10.12"/>
    <col collapsed="false" customWidth="true" hidden="true" outlineLevel="1" max="21" min="14" style="31" width="8.89"/>
    <col collapsed="false" customWidth="true" hidden="true" outlineLevel="1" max="23" min="22" style="31" width="9.86"/>
    <col collapsed="false" customWidth="true" hidden="true" outlineLevel="1" max="25" min="24" style="31" width="7.64"/>
    <col collapsed="false" customWidth="true" hidden="true" outlineLevel="1" max="26" min="26" style="31" width="8.89"/>
    <col collapsed="false" customWidth="true" hidden="true" outlineLevel="1" max="27" min="27" style="31" width="8.61"/>
    <col collapsed="false" customWidth="true" hidden="false" outlineLevel="0" max="28" min="28" style="31" width="2.77"/>
    <col collapsed="false" customWidth="true" hidden="false" outlineLevel="0" max="29" min="29" style="2" width="3.37"/>
    <col collapsed="false" customWidth="true" hidden="false" outlineLevel="0" max="30" min="30" style="2" width="2.92"/>
    <col collapsed="false" customWidth="true" hidden="false" outlineLevel="0" max="31" min="31" style="31" width="2.92"/>
    <col collapsed="false" customWidth="true" hidden="false" outlineLevel="0" max="32" min="32" style="2" width="2.45"/>
    <col collapsed="false" customWidth="true" hidden="false" outlineLevel="0" max="33" min="33" style="2" width="6.58"/>
    <col collapsed="false" customWidth="true" hidden="false" outlineLevel="0" max="34" min="34" style="31" width="9.51"/>
    <col collapsed="false" customWidth="true" hidden="false" outlineLevel="0" max="35" min="35" style="0" width="17.98"/>
    <col collapsed="false" customWidth="true" hidden="false" outlineLevel="0" max="36" min="36" style="0" width="22.23"/>
    <col collapsed="false" customWidth="true" hidden="false" outlineLevel="1" max="38" min="37" style="31" width="12.43"/>
    <col collapsed="false" customWidth="true" hidden="false" outlineLevel="1" max="39" min="39" style="31" width="9.72"/>
    <col collapsed="false" customWidth="true" hidden="false" outlineLevel="1" max="40" min="40" style="31" width="9.32"/>
    <col collapsed="false" customWidth="true" hidden="false" outlineLevel="1" max="41" min="41" style="31" width="8.33"/>
    <col collapsed="false" customWidth="true" hidden="false" outlineLevel="1" max="42" min="42" style="31" width="7.64"/>
    <col collapsed="false" customWidth="true" hidden="false" outlineLevel="1" max="43" min="43" style="31" width="7.15"/>
    <col collapsed="false" customWidth="true" hidden="false" outlineLevel="1" max="44" min="44" style="31" width="7.6"/>
    <col collapsed="false" customWidth="true" hidden="false" outlineLevel="1" max="45" min="45" style="31" width="4.68"/>
    <col collapsed="false" customWidth="true" hidden="false" outlineLevel="1" max="46" min="46" style="31" width="7.31"/>
    <col collapsed="false" customWidth="true" hidden="false" outlineLevel="1" max="47" min="47" style="31" width="8.04"/>
    <col collapsed="false" customWidth="true" hidden="false" outlineLevel="1" max="48" min="48" style="31" width="10.65"/>
    <col collapsed="false" customWidth="true" hidden="false" outlineLevel="1" max="49" min="49" style="31" width="8.79"/>
    <col collapsed="false" customWidth="true" hidden="false" outlineLevel="1" max="51" min="50" style="31" width="9.79"/>
    <col collapsed="false" customWidth="true" hidden="false" outlineLevel="1" max="52" min="52" style="31" width="11.11"/>
    <col collapsed="false" customWidth="true" hidden="false" outlineLevel="1" max="53" min="53" style="31" width="9.93"/>
    <col collapsed="false" customWidth="true" hidden="false" outlineLevel="0" max="55" min="54" style="2" width="12.13"/>
    <col collapsed="false" customWidth="true" hidden="false" outlineLevel="0" max="56" min="56" style="31" width="6.72"/>
    <col collapsed="false" customWidth="true" hidden="false" outlineLevel="0" max="57" min="57" style="31" width="9.79"/>
    <col collapsed="false" customWidth="true" hidden="false" outlineLevel="0" max="59" min="58" style="31" width="6.42"/>
    <col collapsed="false" customWidth="true" hidden="false" outlineLevel="0" max="60" min="60" style="31" width="6.11"/>
    <col collapsed="false" customWidth="true" hidden="false" outlineLevel="0" max="61" min="61" style="2" width="2.92"/>
    <col collapsed="false" customWidth="true" hidden="false" outlineLevel="0" max="70" min="62" style="2" width="2.49"/>
    <col collapsed="false" customWidth="true" hidden="false" outlineLevel="0" max="71" min="71" style="2" width="2.22"/>
    <col collapsed="false" customWidth="true" hidden="false" outlineLevel="0" max="111" min="72" style="2" width="2.49"/>
    <col collapsed="false" customWidth="true" hidden="false" outlineLevel="0" max="112" min="112" style="2" width="2.61"/>
    <col collapsed="false" customWidth="true" hidden="false" outlineLevel="1" max="113" min="113" style="2" width="13.47"/>
    <col collapsed="false" customWidth="true" hidden="false" outlineLevel="1" max="114" min="114" style="2" width="16.67"/>
    <col collapsed="false" customWidth="true" hidden="false" outlineLevel="1" max="115" min="115" style="2" width="10.69"/>
    <col collapsed="false" customWidth="true" hidden="false" outlineLevel="1" max="118" min="116" style="83" width="13.89"/>
    <col collapsed="false" customWidth="true" hidden="false" outlineLevel="1" max="119" min="119" style="83" width="13.43"/>
    <col collapsed="false" customWidth="true" hidden="false" outlineLevel="1" max="120" min="120" style="83" width="10.28"/>
    <col collapsed="false" customWidth="true" hidden="false" outlineLevel="1" max="121" min="121" style="83" width="11.52"/>
    <col collapsed="false" customWidth="true" hidden="false" outlineLevel="1" max="122" min="122" style="31" width="10"/>
    <col collapsed="false" customWidth="true" hidden="false" outlineLevel="1" max="123" min="123" style="83" width="11.52"/>
    <col collapsed="false" customWidth="true" hidden="false" outlineLevel="1" max="124" min="124" style="83" width="7.64"/>
    <col collapsed="false" customWidth="true" hidden="false" outlineLevel="1" max="125" min="125" style="31" width="7.22"/>
    <col collapsed="false" customWidth="true" hidden="false" outlineLevel="1" max="126" min="126" style="31" width="15.28"/>
    <col collapsed="false" customWidth="true" hidden="false" outlineLevel="1" max="127" min="127" style="31" width="9.87"/>
    <col collapsed="false" customWidth="true" hidden="false" outlineLevel="1" max="128" min="128" style="31" width="10.05"/>
    <col collapsed="false" customWidth="true" hidden="false" outlineLevel="0" max="129" min="129" style="31" width="2.34"/>
    <col collapsed="false" customWidth="true" hidden="false" outlineLevel="0" max="1024" min="1016" style="0" width="11.52"/>
  </cols>
  <sheetData>
    <row r="1" s="38" customFormat="true" ht="12.8" hidden="false" customHeight="true" outlineLevel="0" collapsed="false">
      <c r="A1" s="33"/>
      <c r="B1" s="34"/>
      <c r="C1" s="76" t="s">
        <v>610</v>
      </c>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5"/>
      <c r="AG1" s="36"/>
      <c r="AH1" s="35"/>
      <c r="AI1" s="34"/>
      <c r="AJ1" s="34"/>
      <c r="AK1" s="34"/>
      <c r="AL1" s="34"/>
      <c r="AM1" s="34"/>
      <c r="AN1" s="34"/>
      <c r="AO1" s="36"/>
      <c r="AP1" s="35"/>
      <c r="AQ1" s="36"/>
      <c r="AR1" s="36"/>
      <c r="AS1" s="34"/>
      <c r="AT1" s="34"/>
      <c r="AU1" s="36"/>
      <c r="AV1" s="36"/>
      <c r="AW1" s="36"/>
      <c r="AX1" s="37"/>
      <c r="AY1" s="37"/>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t="s">
        <v>450</v>
      </c>
      <c r="EA1" s="84"/>
      <c r="AMA1" s="0"/>
      <c r="AMB1" s="0"/>
      <c r="AMC1" s="0"/>
      <c r="AMD1" s="0"/>
      <c r="AME1" s="0"/>
      <c r="AMF1" s="0"/>
      <c r="AMG1" s="0"/>
      <c r="AMH1" s="0"/>
      <c r="AMI1" s="0"/>
      <c r="AMJ1" s="0"/>
    </row>
    <row r="2" s="38" customFormat="true" ht="12.8" hidden="false" customHeight="true" outlineLevel="0" collapsed="false">
      <c r="A2" s="33"/>
      <c r="B2" s="34"/>
      <c r="C2" s="76" t="s">
        <v>611</v>
      </c>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5"/>
      <c r="AG2" s="36"/>
      <c r="AH2" s="35"/>
      <c r="AI2" s="34"/>
      <c r="AJ2" s="34"/>
      <c r="AK2" s="34"/>
      <c r="AL2" s="34"/>
      <c r="AM2" s="34"/>
      <c r="AN2" s="34"/>
      <c r="AO2" s="36"/>
      <c r="AP2" s="35"/>
      <c r="AQ2" s="36"/>
      <c r="AR2" s="36"/>
      <c r="AS2" s="34"/>
      <c r="AT2" s="34"/>
      <c r="AU2" s="36"/>
      <c r="AV2" s="36"/>
      <c r="AW2" s="36"/>
      <c r="AX2" s="37"/>
      <c r="AY2" s="37"/>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t="s">
        <v>450</v>
      </c>
      <c r="EA2" s="84"/>
      <c r="AMA2" s="0"/>
      <c r="AMB2" s="0"/>
      <c r="AMC2" s="0"/>
      <c r="AMD2" s="0"/>
      <c r="AME2" s="0"/>
      <c r="AMF2" s="0"/>
      <c r="AMG2" s="0"/>
      <c r="AMH2" s="0"/>
      <c r="AMI2" s="0"/>
      <c r="AMJ2" s="0"/>
    </row>
    <row r="3" s="38" customFormat="true" ht="12.8" hidden="false" customHeight="true" outlineLevel="0" collapsed="false">
      <c r="A3" s="33"/>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5"/>
      <c r="AG3" s="36"/>
      <c r="AH3" s="35"/>
      <c r="AI3" s="34"/>
      <c r="AJ3" s="34"/>
      <c r="AK3" s="34"/>
      <c r="AL3" s="34"/>
      <c r="AM3" s="34"/>
      <c r="AN3" s="34"/>
      <c r="AO3" s="36"/>
      <c r="AP3" s="35"/>
      <c r="AQ3" s="36"/>
      <c r="AR3" s="36"/>
      <c r="AS3" s="34"/>
      <c r="AT3" s="34"/>
      <c r="AU3" s="36"/>
      <c r="AV3" s="36"/>
      <c r="AW3" s="36"/>
      <c r="AX3" s="37"/>
      <c r="AY3" s="37"/>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t="s">
        <v>450</v>
      </c>
      <c r="EA3" s="84"/>
      <c r="AMA3" s="0"/>
      <c r="AMB3" s="0"/>
      <c r="AMC3" s="0"/>
      <c r="AMD3" s="0"/>
      <c r="AME3" s="0"/>
      <c r="AMF3" s="0"/>
      <c r="AMG3" s="0"/>
      <c r="AMH3" s="0"/>
      <c r="AMI3" s="0"/>
      <c r="AMJ3" s="0"/>
    </row>
    <row r="4" s="38" customFormat="true" ht="12.8" hidden="false" customHeight="true" outlineLevel="0" collapsed="false">
      <c r="A4" s="77" t="n">
        <f aca="false">A3</f>
        <v>0</v>
      </c>
      <c r="B4" s="46" t="n">
        <f aca="false">B3</f>
        <v>0</v>
      </c>
      <c r="C4" s="46" t="n">
        <f aca="false">C3</f>
        <v>0</v>
      </c>
      <c r="D4" s="46" t="n">
        <f aca="false">D3</f>
        <v>0</v>
      </c>
      <c r="E4" s="46" t="n">
        <f aca="false">E3</f>
        <v>0</v>
      </c>
      <c r="F4" s="46" t="n">
        <f aca="false">F3</f>
        <v>0</v>
      </c>
      <c r="G4" s="46" t="n">
        <f aca="false">G3</f>
        <v>0</v>
      </c>
      <c r="H4" s="46" t="n">
        <f aca="false">H3</f>
        <v>0</v>
      </c>
      <c r="I4" s="46" t="n">
        <f aca="false">I3</f>
        <v>0</v>
      </c>
      <c r="J4" s="46" t="n">
        <f aca="false">J3</f>
        <v>0</v>
      </c>
      <c r="K4" s="46" t="n">
        <f aca="false">K3</f>
        <v>0</v>
      </c>
      <c r="L4" s="46" t="n">
        <f aca="false">L3</f>
        <v>0</v>
      </c>
      <c r="M4" s="46" t="n">
        <f aca="false">M3</f>
        <v>0</v>
      </c>
      <c r="N4" s="46"/>
      <c r="O4" s="46"/>
      <c r="P4" s="46"/>
      <c r="Q4" s="46"/>
      <c r="R4" s="46"/>
      <c r="S4" s="46"/>
      <c r="T4" s="46" t="n">
        <f aca="false">T3</f>
        <v>0</v>
      </c>
      <c r="U4" s="46" t="n">
        <f aca="false">U3</f>
        <v>0</v>
      </c>
      <c r="V4" s="46" t="n">
        <f aca="false">V3</f>
        <v>0</v>
      </c>
      <c r="W4" s="46" t="n">
        <f aca="false">W3</f>
        <v>0</v>
      </c>
      <c r="X4" s="46" t="n">
        <f aca="false">X3</f>
        <v>0</v>
      </c>
      <c r="Y4" s="46" t="n">
        <f aca="false">Y3</f>
        <v>0</v>
      </c>
      <c r="Z4" s="46" t="n">
        <f aca="false">Z3</f>
        <v>0</v>
      </c>
      <c r="AA4" s="46" t="n">
        <f aca="false">AA3</f>
        <v>0</v>
      </c>
      <c r="AB4" s="46" t="n">
        <f aca="false">AB3</f>
        <v>0</v>
      </c>
      <c r="AC4" s="46" t="n">
        <f aca="false">AC3</f>
        <v>0</v>
      </c>
      <c r="AD4" s="46"/>
      <c r="AE4" s="46" t="n">
        <f aca="false">AE3</f>
        <v>0</v>
      </c>
      <c r="AF4" s="46" t="n">
        <f aca="false">AF3</f>
        <v>0</v>
      </c>
      <c r="AG4" s="45" t="n">
        <f aca="false">AG3</f>
        <v>0</v>
      </c>
      <c r="AH4" s="46" t="n">
        <f aca="false">AH3</f>
        <v>0</v>
      </c>
      <c r="AI4" s="46" t="n">
        <f aca="false">AI3</f>
        <v>0</v>
      </c>
      <c r="AJ4" s="46" t="n">
        <f aca="false">AJ3</f>
        <v>0</v>
      </c>
      <c r="AK4" s="46" t="n">
        <f aca="false">AK3</f>
        <v>0</v>
      </c>
      <c r="AL4" s="46" t="n">
        <f aca="false">AL3</f>
        <v>0</v>
      </c>
      <c r="AM4" s="46" t="n">
        <f aca="false">AM3</f>
        <v>0</v>
      </c>
      <c r="AN4" s="46" t="n">
        <f aca="false">AN3</f>
        <v>0</v>
      </c>
      <c r="AO4" s="78" t="n">
        <f aca="false">AO3</f>
        <v>0</v>
      </c>
      <c r="AP4" s="46" t="n">
        <f aca="false">AP3</f>
        <v>0</v>
      </c>
      <c r="AQ4" s="46" t="n">
        <f aca="false">AQ3</f>
        <v>0</v>
      </c>
      <c r="AR4" s="46" t="n">
        <f aca="false">AR3</f>
        <v>0</v>
      </c>
      <c r="AS4" s="46" t="n">
        <f aca="false">AS3</f>
        <v>0</v>
      </c>
      <c r="AT4" s="46" t="n">
        <f aca="false">AT3</f>
        <v>0</v>
      </c>
      <c r="AU4" s="46" t="n">
        <f aca="false">AU3</f>
        <v>0</v>
      </c>
      <c r="AV4" s="46" t="n">
        <f aca="false">AV3</f>
        <v>0</v>
      </c>
      <c r="AW4" s="46" t="n">
        <f aca="false">AW3</f>
        <v>0</v>
      </c>
      <c r="AX4" s="48" t="n">
        <f aca="false">AX3</f>
        <v>0</v>
      </c>
      <c r="AY4" s="48" t="n">
        <f aca="false">AY3</f>
        <v>0</v>
      </c>
      <c r="AZ4" s="46" t="n">
        <f aca="false">AZ3</f>
        <v>0</v>
      </c>
      <c r="BA4" s="46" t="n">
        <f aca="false">BA3</f>
        <v>0</v>
      </c>
      <c r="BB4" s="46" t="n">
        <f aca="false">BB3</f>
        <v>0</v>
      </c>
      <c r="BC4" s="46" t="n">
        <f aca="false">BC3</f>
        <v>0</v>
      </c>
      <c r="BD4" s="46"/>
      <c r="BE4" s="46"/>
      <c r="BF4" s="46" t="n">
        <f aca="false">BF3</f>
        <v>0</v>
      </c>
      <c r="BG4" s="46" t="n">
        <f aca="false">BG3</f>
        <v>0</v>
      </c>
      <c r="BH4" s="46" t="n">
        <f aca="false">BH3</f>
        <v>0</v>
      </c>
      <c r="BI4" s="46" t="n">
        <f aca="false">BI3</f>
        <v>0</v>
      </c>
      <c r="BJ4" s="46" t="n">
        <f aca="false">BJ3</f>
        <v>0</v>
      </c>
      <c r="BK4" s="46" t="n">
        <f aca="false">BK3</f>
        <v>0</v>
      </c>
      <c r="BL4" s="46" t="n">
        <f aca="false">BL3</f>
        <v>0</v>
      </c>
      <c r="BM4" s="46" t="n">
        <f aca="false">BM3</f>
        <v>0</v>
      </c>
      <c r="BN4" s="46" t="n">
        <f aca="false">BN3</f>
        <v>0</v>
      </c>
      <c r="BO4" s="46" t="n">
        <f aca="false">BO3</f>
        <v>0</v>
      </c>
      <c r="BP4" s="46" t="n">
        <f aca="false">BP3</f>
        <v>0</v>
      </c>
      <c r="BQ4" s="46" t="n">
        <f aca="false">BQ3</f>
        <v>0</v>
      </c>
      <c r="BR4" s="46" t="n">
        <f aca="false">BR3</f>
        <v>0</v>
      </c>
      <c r="BS4" s="46" t="n">
        <f aca="false">BS3</f>
        <v>0</v>
      </c>
      <c r="BT4" s="46" t="n">
        <f aca="false">BT3</f>
        <v>0</v>
      </c>
      <c r="BU4" s="46" t="n">
        <f aca="false">BU3</f>
        <v>0</v>
      </c>
      <c r="BV4" s="46" t="n">
        <f aca="false">BV3</f>
        <v>0</v>
      </c>
      <c r="BW4" s="46" t="n">
        <f aca="false">BW3</f>
        <v>0</v>
      </c>
      <c r="BX4" s="46" t="n">
        <f aca="false">BX3</f>
        <v>0</v>
      </c>
      <c r="BY4" s="46" t="n">
        <f aca="false">BY3</f>
        <v>0</v>
      </c>
      <c r="BZ4" s="46" t="n">
        <f aca="false">BZ3</f>
        <v>0</v>
      </c>
      <c r="CA4" s="46" t="n">
        <f aca="false">CA3</f>
        <v>0</v>
      </c>
      <c r="CB4" s="46" t="n">
        <f aca="false">CB3</f>
        <v>0</v>
      </c>
      <c r="CC4" s="46" t="n">
        <f aca="false">CC3</f>
        <v>0</v>
      </c>
      <c r="CD4" s="46" t="n">
        <f aca="false">CD3</f>
        <v>0</v>
      </c>
      <c r="CE4" s="46" t="n">
        <f aca="false">CE3</f>
        <v>0</v>
      </c>
      <c r="CF4" s="46" t="n">
        <f aca="false">CF3</f>
        <v>0</v>
      </c>
      <c r="CG4" s="46" t="n">
        <f aca="false">CG3</f>
        <v>0</v>
      </c>
      <c r="CH4" s="46" t="n">
        <f aca="false">CH3</f>
        <v>0</v>
      </c>
      <c r="CI4" s="46" t="n">
        <f aca="false">CI3</f>
        <v>0</v>
      </c>
      <c r="CJ4" s="46" t="n">
        <f aca="false">CJ3</f>
        <v>0</v>
      </c>
      <c r="CK4" s="46" t="n">
        <f aca="false">CK3</f>
        <v>0</v>
      </c>
      <c r="CL4" s="46" t="n">
        <f aca="false">CL3</f>
        <v>0</v>
      </c>
      <c r="CM4" s="46" t="n">
        <f aca="false">CM3</f>
        <v>0</v>
      </c>
      <c r="CN4" s="46" t="n">
        <f aca="false">CN3</f>
        <v>0</v>
      </c>
      <c r="CO4" s="46" t="n">
        <f aca="false">CO3</f>
        <v>0</v>
      </c>
      <c r="CP4" s="46" t="n">
        <f aca="false">CP3</f>
        <v>0</v>
      </c>
      <c r="CQ4" s="46" t="n">
        <f aca="false">CQ3</f>
        <v>0</v>
      </c>
      <c r="CR4" s="46" t="n">
        <f aca="false">CR3</f>
        <v>0</v>
      </c>
      <c r="CS4" s="46" t="n">
        <f aca="false">CS3</f>
        <v>0</v>
      </c>
      <c r="CT4" s="46" t="n">
        <f aca="false">CT3</f>
        <v>0</v>
      </c>
      <c r="CU4" s="46" t="n">
        <f aca="false">CU3</f>
        <v>0</v>
      </c>
      <c r="CV4" s="46" t="n">
        <f aca="false">CV3</f>
        <v>0</v>
      </c>
      <c r="CW4" s="46" t="n">
        <f aca="false">CW3</f>
        <v>0</v>
      </c>
      <c r="CX4" s="46" t="n">
        <f aca="false">CX3</f>
        <v>0</v>
      </c>
      <c r="CY4" s="46" t="n">
        <f aca="false">CY3</f>
        <v>0</v>
      </c>
      <c r="CZ4" s="46" t="n">
        <f aca="false">CZ3</f>
        <v>0</v>
      </c>
      <c r="DA4" s="46" t="n">
        <f aca="false">DA3</f>
        <v>0</v>
      </c>
      <c r="DB4" s="46" t="n">
        <f aca="false">DB3</f>
        <v>0</v>
      </c>
      <c r="DC4" s="46" t="n">
        <f aca="false">DC3</f>
        <v>0</v>
      </c>
      <c r="DD4" s="46" t="n">
        <f aca="false">DD3</f>
        <v>0</v>
      </c>
      <c r="DE4" s="46" t="n">
        <f aca="false">DE3</f>
        <v>0</v>
      </c>
      <c r="DF4" s="46" t="n">
        <f aca="false">DF3</f>
        <v>0</v>
      </c>
      <c r="DG4" s="46" t="n">
        <f aca="false">DG3</f>
        <v>0</v>
      </c>
      <c r="DH4" s="46" t="n">
        <f aca="false">DH3</f>
        <v>0</v>
      </c>
      <c r="DI4" s="46" t="n">
        <f aca="false">DI3</f>
        <v>0</v>
      </c>
      <c r="DJ4" s="46" t="n">
        <f aca="false">DJ3</f>
        <v>0</v>
      </c>
      <c r="DK4" s="46" t="n">
        <f aca="false">DK3</f>
        <v>0</v>
      </c>
      <c r="DL4" s="46" t="n">
        <f aca="false">DL3</f>
        <v>0</v>
      </c>
      <c r="DM4" s="46" t="n">
        <f aca="false">DM3</f>
        <v>0</v>
      </c>
      <c r="DN4" s="46" t="n">
        <f aca="false">DN3</f>
        <v>0</v>
      </c>
      <c r="DO4" s="46" t="n">
        <f aca="false">DO3</f>
        <v>0</v>
      </c>
      <c r="DP4" s="46" t="n">
        <f aca="false">DP3</f>
        <v>0</v>
      </c>
      <c r="DQ4" s="46" t="n">
        <f aca="false">DQ3</f>
        <v>0</v>
      </c>
      <c r="DR4" s="46" t="n">
        <f aca="false">DR3</f>
        <v>0</v>
      </c>
      <c r="DS4" s="46" t="n">
        <f aca="false">DS3</f>
        <v>0</v>
      </c>
      <c r="DT4" s="46" t="n">
        <f aca="false">DT3</f>
        <v>0</v>
      </c>
      <c r="DU4" s="46" t="n">
        <f aca="false">DU3</f>
        <v>0</v>
      </c>
      <c r="DV4" s="46" t="n">
        <f aca="false">DV3</f>
        <v>0</v>
      </c>
      <c r="DW4" s="46" t="n">
        <f aca="false">DW3</f>
        <v>0</v>
      </c>
      <c r="DX4" s="46" t="n">
        <f aca="false">DX3</f>
        <v>0</v>
      </c>
      <c r="DY4" s="46" t="str">
        <f aca="false">DY3</f>
        <v>x</v>
      </c>
      <c r="EA4" s="84"/>
      <c r="AMA4" s="0"/>
      <c r="AMB4" s="0"/>
      <c r="AMC4" s="0"/>
      <c r="AMD4" s="0"/>
      <c r="AME4" s="0"/>
      <c r="AMF4" s="0"/>
      <c r="AMG4" s="0"/>
      <c r="AMH4" s="0"/>
      <c r="AMI4" s="0"/>
      <c r="AMJ4" s="0"/>
    </row>
    <row r="5" s="38" customFormat="true" ht="12.8" hidden="false" customHeight="true" outlineLevel="0" collapsed="false">
      <c r="A5" s="54"/>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82"/>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t="s">
        <v>450</v>
      </c>
      <c r="EA5" s="84"/>
      <c r="AMA5" s="0"/>
      <c r="AMB5" s="0"/>
      <c r="AMC5" s="0"/>
      <c r="AMD5" s="0"/>
      <c r="AME5" s="0"/>
      <c r="AMF5" s="0"/>
      <c r="AMG5" s="0"/>
      <c r="AMH5" s="0"/>
      <c r="AMI5" s="0"/>
      <c r="AMJ5" s="0"/>
    </row>
    <row r="6" s="38" customFormat="true" ht="12.8" hidden="false" customHeight="true" outlineLevel="0" collapsed="false">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82"/>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t="s">
        <v>450</v>
      </c>
      <c r="EA6" s="84"/>
      <c r="AMA6" s="0"/>
      <c r="AMB6" s="0"/>
      <c r="AMC6" s="0"/>
      <c r="AMD6" s="0"/>
      <c r="AME6" s="0"/>
      <c r="AMF6" s="0"/>
      <c r="AMG6" s="0"/>
      <c r="AMH6" s="0"/>
      <c r="AMI6" s="0"/>
      <c r="AMJ6" s="0"/>
    </row>
    <row r="7" s="38" customFormat="true" ht="12.8" hidden="false" customHeight="true" outlineLevel="0" collapsed="false">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82"/>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t="s">
        <v>450</v>
      </c>
      <c r="EA7" s="84"/>
      <c r="AMA7" s="0"/>
      <c r="AMB7" s="0"/>
      <c r="AMC7" s="0"/>
      <c r="AMD7" s="0"/>
      <c r="AME7" s="0"/>
      <c r="AMF7" s="0"/>
      <c r="AMG7" s="0"/>
      <c r="AMH7" s="0"/>
      <c r="AMI7" s="0"/>
      <c r="AMJ7" s="0"/>
    </row>
    <row r="8" s="38" customFormat="true" ht="12.8" hidden="false" customHeight="true" outlineLevel="0" collapsed="false">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82"/>
      <c r="AH8" s="54"/>
      <c r="AI8" s="54"/>
      <c r="AJ8" s="54" t="s">
        <v>612</v>
      </c>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t="s">
        <v>450</v>
      </c>
      <c r="EA8" s="84"/>
      <c r="AMA8" s="0"/>
      <c r="AMB8" s="0"/>
      <c r="AMC8" s="0"/>
      <c r="AMD8" s="0"/>
      <c r="AME8" s="0"/>
      <c r="AMF8" s="0"/>
      <c r="AMG8" s="0"/>
      <c r="AMH8" s="0"/>
      <c r="AMI8" s="0"/>
      <c r="AMJ8" s="0"/>
    </row>
    <row r="9" s="38" customFormat="true" ht="12.8" hidden="false" customHeight="true" outlineLevel="0" collapsed="false">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82"/>
      <c r="AH9" s="54"/>
      <c r="AI9" s="54"/>
      <c r="AJ9" s="54" t="s">
        <v>611</v>
      </c>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t="s">
        <v>450</v>
      </c>
      <c r="EA9" s="84"/>
      <c r="AMA9" s="0"/>
      <c r="AMB9" s="0"/>
      <c r="AMC9" s="0"/>
      <c r="AMD9" s="0"/>
      <c r="AME9" s="0"/>
      <c r="AMF9" s="0"/>
      <c r="AMG9" s="0"/>
      <c r="AMH9" s="0"/>
      <c r="AMI9" s="0"/>
      <c r="AMJ9" s="0"/>
    </row>
    <row r="10" s="38" customFormat="true" ht="12.8" hidden="false" customHeight="true" outlineLevel="0" collapsed="false">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82"/>
      <c r="AH10" s="54"/>
      <c r="AI10" s="54"/>
      <c r="AJ10" s="54" t="s">
        <v>613</v>
      </c>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t="s">
        <v>450</v>
      </c>
      <c r="EA10" s="84"/>
      <c r="AMA10" s="0"/>
      <c r="AMB10" s="0"/>
      <c r="AMC10" s="0"/>
      <c r="AMD10" s="0"/>
      <c r="AME10" s="0"/>
      <c r="AMF10" s="0"/>
      <c r="AMG10" s="0"/>
      <c r="AMH10" s="0"/>
      <c r="AMI10" s="0"/>
      <c r="AMJ10" s="0"/>
    </row>
    <row r="11" s="38" customFormat="true" ht="12.8" hidden="false" customHeight="true" outlineLevel="0" collapsed="false">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82"/>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t="s">
        <v>450</v>
      </c>
      <c r="EA11" s="84"/>
      <c r="AMA11" s="0"/>
      <c r="AMB11" s="0"/>
      <c r="AMC11" s="0"/>
      <c r="AMD11" s="0"/>
      <c r="AME11" s="0"/>
      <c r="AMF11" s="0"/>
      <c r="AMG11" s="0"/>
      <c r="AMH11" s="0"/>
      <c r="AMI11" s="0"/>
      <c r="AMJ11" s="0"/>
    </row>
    <row r="12" s="38" customFormat="true" ht="12.8" hidden="false" customHeight="true" outlineLevel="0" collapsed="false">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82"/>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t="s">
        <v>450</v>
      </c>
      <c r="EA12" s="84"/>
      <c r="AMA12" s="0"/>
      <c r="AMB12" s="0"/>
      <c r="AMC12" s="0"/>
      <c r="AMD12" s="0"/>
      <c r="AME12" s="0"/>
      <c r="AMF12" s="0"/>
      <c r="AMG12" s="0"/>
      <c r="AMH12" s="0"/>
      <c r="AMI12" s="0"/>
      <c r="AMJ12" s="0"/>
    </row>
    <row r="13" s="38" customFormat="true" ht="12.8" hidden="false" customHeight="true" outlineLevel="0" collapsed="false">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82"/>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t="s">
        <v>450</v>
      </c>
      <c r="EA13" s="84"/>
      <c r="AMA13" s="0"/>
      <c r="AMB13" s="0"/>
      <c r="AMC13" s="0"/>
      <c r="AMD13" s="0"/>
      <c r="AME13" s="0"/>
      <c r="AMF13" s="0"/>
      <c r="AMG13" s="0"/>
      <c r="AMH13" s="0"/>
      <c r="AMI13" s="0"/>
      <c r="AMJ13" s="0"/>
    </row>
    <row r="14" s="38" customFormat="true" ht="12.8"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82"/>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t="s">
        <v>450</v>
      </c>
      <c r="EA14" s="84"/>
      <c r="AMA14" s="0"/>
      <c r="AMB14" s="0"/>
      <c r="AMC14" s="0"/>
      <c r="AMD14" s="0"/>
      <c r="AME14" s="0"/>
      <c r="AMF14" s="0"/>
      <c r="AMG14" s="0"/>
      <c r="AMH14" s="0"/>
      <c r="AMI14" s="0"/>
      <c r="AMJ14" s="0"/>
    </row>
    <row r="15" s="38" customFormat="true" ht="12.8" hidden="false" customHeight="true" outlineLevel="0" collapsed="false">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82"/>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t="s">
        <v>450</v>
      </c>
      <c r="EA15" s="84"/>
      <c r="AMA15" s="0"/>
      <c r="AMB15" s="0"/>
      <c r="AMC15" s="0"/>
      <c r="AMD15" s="0"/>
      <c r="AME15" s="0"/>
      <c r="AMF15" s="0"/>
      <c r="AMG15" s="0"/>
      <c r="AMH15" s="0"/>
      <c r="AMI15" s="0"/>
      <c r="AMJ15" s="0"/>
    </row>
    <row r="16" s="38" customFormat="true" ht="12.8" hidden="false" customHeight="true" outlineLevel="0" collapsed="false">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82"/>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t="s">
        <v>450</v>
      </c>
      <c r="EA16" s="84"/>
      <c r="AMA16" s="0"/>
      <c r="AMB16" s="0"/>
      <c r="AMC16" s="0"/>
      <c r="AMD16" s="0"/>
      <c r="AME16" s="0"/>
      <c r="AMF16" s="0"/>
      <c r="AMG16" s="0"/>
      <c r="AMH16" s="0"/>
      <c r="AMI16" s="0"/>
      <c r="AMJ16" s="0"/>
    </row>
    <row r="17" s="38" customFormat="true" ht="110.25" hidden="true" customHeight="true" outlineLevel="1" collapsed="false">
      <c r="A17" s="33" t="n">
        <f aca="true">TODAY()</f>
        <v>45334</v>
      </c>
      <c r="B17" s="34" t="s">
        <v>649</v>
      </c>
      <c r="C17" s="34" t="s">
        <v>650</v>
      </c>
      <c r="D17" s="34" t="s">
        <v>651</v>
      </c>
      <c r="E17" s="36" t="s">
        <v>652</v>
      </c>
      <c r="F17" s="34" t="s">
        <v>653</v>
      </c>
      <c r="G17" s="34" t="s">
        <v>654</v>
      </c>
      <c r="H17" s="34" t="s">
        <v>655</v>
      </c>
      <c r="I17" s="34" t="s">
        <v>656</v>
      </c>
      <c r="J17" s="34" t="s">
        <v>657</v>
      </c>
      <c r="K17" s="34" t="s">
        <v>658</v>
      </c>
      <c r="L17" s="34" t="s">
        <v>659</v>
      </c>
      <c r="M17" s="34" t="s">
        <v>660</v>
      </c>
      <c r="N17" s="34" t="s">
        <v>353</v>
      </c>
      <c r="O17" s="34" t="s">
        <v>353</v>
      </c>
      <c r="P17" s="34" t="s">
        <v>353</v>
      </c>
      <c r="Q17" s="34" t="s">
        <v>353</v>
      </c>
      <c r="R17" s="34" t="s">
        <v>353</v>
      </c>
      <c r="S17" s="34" t="s">
        <v>354</v>
      </c>
      <c r="T17" s="34"/>
      <c r="U17" s="34" t="s">
        <v>661</v>
      </c>
      <c r="V17" s="34" t="s">
        <v>662</v>
      </c>
      <c r="W17" s="34" t="s">
        <v>663</v>
      </c>
      <c r="X17" s="34"/>
      <c r="Y17" s="34" t="s">
        <v>664</v>
      </c>
      <c r="Z17" s="34" t="s">
        <v>665</v>
      </c>
      <c r="AA17" s="34" t="s">
        <v>666</v>
      </c>
      <c r="AB17" s="85" t="s">
        <v>667</v>
      </c>
      <c r="AC17" s="36" t="s">
        <v>668</v>
      </c>
      <c r="AD17" s="36"/>
      <c r="AE17" s="34" t="s">
        <v>669</v>
      </c>
      <c r="AF17" s="34" t="s">
        <v>670</v>
      </c>
      <c r="AG17" s="36"/>
      <c r="AH17" s="34" t="s">
        <v>671</v>
      </c>
      <c r="AI17" s="35" t="s">
        <v>672</v>
      </c>
      <c r="AJ17" s="35" t="s">
        <v>673</v>
      </c>
      <c r="AK17" s="86" t="s">
        <v>674</v>
      </c>
      <c r="AL17" s="86" t="s">
        <v>675</v>
      </c>
      <c r="AM17" s="86" t="s">
        <v>676</v>
      </c>
      <c r="AN17" s="86" t="s">
        <v>677</v>
      </c>
      <c r="AO17" s="86" t="s">
        <v>678</v>
      </c>
      <c r="AP17" s="86" t="s">
        <v>679</v>
      </c>
      <c r="AQ17" s="34" t="s">
        <v>680</v>
      </c>
      <c r="AR17" s="34" t="s">
        <v>681</v>
      </c>
      <c r="AS17" s="36" t="s">
        <v>682</v>
      </c>
      <c r="AT17" s="34" t="s">
        <v>683</v>
      </c>
      <c r="AU17" s="36" t="s">
        <v>684</v>
      </c>
      <c r="AV17" s="34" t="s">
        <v>685</v>
      </c>
      <c r="AW17" s="34" t="s">
        <v>686</v>
      </c>
      <c r="AX17" s="34" t="s">
        <v>687</v>
      </c>
      <c r="AY17" s="34" t="s">
        <v>688</v>
      </c>
      <c r="AZ17" s="34" t="s">
        <v>689</v>
      </c>
      <c r="BA17" s="36" t="s">
        <v>690</v>
      </c>
      <c r="BB17" s="36" t="s">
        <v>691</v>
      </c>
      <c r="BC17" s="36" t="s">
        <v>625</v>
      </c>
      <c r="BD17" s="34" t="s">
        <v>387</v>
      </c>
      <c r="BE17" s="36" t="s">
        <v>388</v>
      </c>
      <c r="BF17" s="34" t="s">
        <v>692</v>
      </c>
      <c r="BG17" s="34" t="s">
        <v>693</v>
      </c>
      <c r="BH17" s="34" t="s">
        <v>694</v>
      </c>
      <c r="BI17" s="36" t="s">
        <v>695</v>
      </c>
      <c r="BJ17" s="36" t="s">
        <v>696</v>
      </c>
      <c r="BK17" s="36" t="s">
        <v>696</v>
      </c>
      <c r="BL17" s="36" t="s">
        <v>696</v>
      </c>
      <c r="BM17" s="36" t="s">
        <v>696</v>
      </c>
      <c r="BN17" s="36" t="s">
        <v>696</v>
      </c>
      <c r="BO17" s="36" t="s">
        <v>696</v>
      </c>
      <c r="BP17" s="36" t="s">
        <v>696</v>
      </c>
      <c r="BQ17" s="36" t="s">
        <v>696</v>
      </c>
      <c r="BR17" s="36" t="s">
        <v>696</v>
      </c>
      <c r="BS17" s="36" t="s">
        <v>696</v>
      </c>
      <c r="BT17" s="36" t="s">
        <v>696</v>
      </c>
      <c r="BU17" s="36" t="s">
        <v>696</v>
      </c>
      <c r="BV17" s="36" t="s">
        <v>696</v>
      </c>
      <c r="BW17" s="36" t="s">
        <v>696</v>
      </c>
      <c r="BX17" s="36" t="s">
        <v>696</v>
      </c>
      <c r="BY17" s="36" t="s">
        <v>696</v>
      </c>
      <c r="BZ17" s="36" t="s">
        <v>696</v>
      </c>
      <c r="CA17" s="36" t="s">
        <v>696</v>
      </c>
      <c r="CB17" s="36" t="s">
        <v>696</v>
      </c>
      <c r="CC17" s="36" t="s">
        <v>696</v>
      </c>
      <c r="CD17" s="36" t="s">
        <v>696</v>
      </c>
      <c r="CE17" s="36" t="s">
        <v>696</v>
      </c>
      <c r="CF17" s="36" t="s">
        <v>696</v>
      </c>
      <c r="CG17" s="36" t="s">
        <v>696</v>
      </c>
      <c r="CH17" s="36" t="s">
        <v>696</v>
      </c>
      <c r="CI17" s="36" t="s">
        <v>696</v>
      </c>
      <c r="CJ17" s="36" t="s">
        <v>696</v>
      </c>
      <c r="CK17" s="36" t="s">
        <v>696</v>
      </c>
      <c r="CL17" s="36" t="s">
        <v>696</v>
      </c>
      <c r="CM17" s="36" t="s">
        <v>696</v>
      </c>
      <c r="CN17" s="36" t="s">
        <v>696</v>
      </c>
      <c r="CO17" s="36" t="s">
        <v>696</v>
      </c>
      <c r="CP17" s="36" t="s">
        <v>696</v>
      </c>
      <c r="CQ17" s="36" t="s">
        <v>696</v>
      </c>
      <c r="CR17" s="36" t="s">
        <v>696</v>
      </c>
      <c r="CS17" s="36" t="s">
        <v>696</v>
      </c>
      <c r="CT17" s="36" t="s">
        <v>696</v>
      </c>
      <c r="CU17" s="36" t="s">
        <v>696</v>
      </c>
      <c r="CV17" s="36" t="s">
        <v>696</v>
      </c>
      <c r="CW17" s="36" t="s">
        <v>696</v>
      </c>
      <c r="CX17" s="36" t="s">
        <v>696</v>
      </c>
      <c r="CY17" s="36" t="s">
        <v>696</v>
      </c>
      <c r="CZ17" s="36" t="s">
        <v>696</v>
      </c>
      <c r="DA17" s="36" t="s">
        <v>696</v>
      </c>
      <c r="DB17" s="36" t="s">
        <v>696</v>
      </c>
      <c r="DC17" s="36" t="s">
        <v>696</v>
      </c>
      <c r="DD17" s="36" t="s">
        <v>696</v>
      </c>
      <c r="DE17" s="36" t="s">
        <v>696</v>
      </c>
      <c r="DF17" s="36" t="s">
        <v>696</v>
      </c>
      <c r="DG17" s="36" t="s">
        <v>696</v>
      </c>
      <c r="DH17" s="36" t="n">
        <f aca="false">(DH19-BI19)/52</f>
        <v>14.0384615384615</v>
      </c>
      <c r="DI17" s="36" t="s">
        <v>697</v>
      </c>
      <c r="DJ17" s="36" t="s">
        <v>698</v>
      </c>
      <c r="DK17" s="36" t="s">
        <v>699</v>
      </c>
      <c r="DL17" s="87" t="s">
        <v>700</v>
      </c>
      <c r="DM17" s="87" t="s">
        <v>701</v>
      </c>
      <c r="DN17" s="87" t="s">
        <v>702</v>
      </c>
      <c r="DO17" s="87" t="s">
        <v>703</v>
      </c>
      <c r="DP17" s="87" t="s">
        <v>704</v>
      </c>
      <c r="DQ17" s="87" t="s">
        <v>705</v>
      </c>
      <c r="DR17" s="34" t="s">
        <v>706</v>
      </c>
      <c r="DS17" s="87" t="s">
        <v>707</v>
      </c>
      <c r="DT17" s="87" t="s">
        <v>708</v>
      </c>
      <c r="DU17" s="34" t="s">
        <v>709</v>
      </c>
      <c r="DV17" s="34" t="s">
        <v>710</v>
      </c>
      <c r="DW17" s="34" t="s">
        <v>711</v>
      </c>
      <c r="DX17" s="34" t="s">
        <v>711</v>
      </c>
      <c r="DY17" s="34" t="s">
        <v>712</v>
      </c>
      <c r="EA17" s="84" t="s">
        <v>706</v>
      </c>
      <c r="AMA17" s="0"/>
      <c r="AMB17" s="0"/>
      <c r="AMC17" s="0"/>
      <c r="AMD17" s="0"/>
      <c r="AME17" s="0"/>
      <c r="AMF17" s="0"/>
      <c r="AMG17" s="0"/>
      <c r="AMH17" s="0"/>
      <c r="AMI17" s="0"/>
      <c r="AMJ17" s="0"/>
    </row>
    <row r="18" s="96" customFormat="true" ht="14.15" hidden="true" customHeight="true" outlineLevel="1" collapsed="false">
      <c r="A18" s="88"/>
      <c r="B18" s="89"/>
      <c r="C18" s="89"/>
      <c r="D18" s="89"/>
      <c r="E18" s="90"/>
      <c r="F18" s="89"/>
      <c r="G18" s="89"/>
      <c r="H18" s="89"/>
      <c r="I18" s="89"/>
      <c r="J18" s="89"/>
      <c r="K18" s="89"/>
      <c r="L18" s="89"/>
      <c r="M18" s="89"/>
      <c r="N18" s="34"/>
      <c r="O18" s="34"/>
      <c r="P18" s="34"/>
      <c r="Q18" s="34"/>
      <c r="R18" s="34"/>
      <c r="S18" s="34"/>
      <c r="T18" s="89"/>
      <c r="U18" s="89"/>
      <c r="V18" s="89"/>
      <c r="W18" s="89"/>
      <c r="X18" s="89"/>
      <c r="Y18" s="89"/>
      <c r="Z18" s="89"/>
      <c r="AA18" s="89"/>
      <c r="AB18" s="91"/>
      <c r="AC18" s="90"/>
      <c r="AD18" s="90"/>
      <c r="AE18" s="89" t="n">
        <v>1</v>
      </c>
      <c r="AF18" s="89"/>
      <c r="AG18" s="90"/>
      <c r="AH18" s="89"/>
      <c r="AI18" s="92"/>
      <c r="AJ18" s="92"/>
      <c r="AK18" s="93"/>
      <c r="AL18" s="93"/>
      <c r="AM18" s="93"/>
      <c r="AN18" s="93"/>
      <c r="AO18" s="93"/>
      <c r="AP18" s="93"/>
      <c r="AQ18" s="89"/>
      <c r="AR18" s="89"/>
      <c r="AS18" s="90"/>
      <c r="AT18" s="89"/>
      <c r="AU18" s="89"/>
      <c r="AV18" s="89"/>
      <c r="AW18" s="89"/>
      <c r="AX18" s="89"/>
      <c r="AY18" s="89"/>
      <c r="AZ18" s="89"/>
      <c r="BA18" s="90"/>
      <c r="BB18" s="90"/>
      <c r="BC18" s="90"/>
      <c r="BD18" s="34"/>
      <c r="BE18" s="36"/>
      <c r="BF18" s="89"/>
      <c r="BG18" s="89"/>
      <c r="BH18" s="89"/>
      <c r="BI18" s="90"/>
      <c r="BJ18" s="90"/>
      <c r="BK18" s="90"/>
      <c r="BL18" s="90"/>
      <c r="BM18" s="90"/>
      <c r="BN18" s="90"/>
      <c r="BO18" s="90" t="s">
        <v>713</v>
      </c>
      <c r="BP18" s="90" t="n">
        <v>1</v>
      </c>
      <c r="BQ18" s="90"/>
      <c r="BR18" s="90"/>
      <c r="BS18" s="90"/>
      <c r="BT18" s="90"/>
      <c r="BU18" s="90"/>
      <c r="BV18" s="94"/>
      <c r="BW18" s="94"/>
      <c r="BX18" s="94"/>
      <c r="BY18" s="94"/>
      <c r="BZ18" s="94"/>
      <c r="CA18" s="94"/>
      <c r="CB18" s="94" t="s">
        <v>713</v>
      </c>
      <c r="CC18" s="94" t="n">
        <v>2</v>
      </c>
      <c r="CD18" s="94"/>
      <c r="CE18" s="94"/>
      <c r="CF18" s="94"/>
      <c r="CG18" s="94"/>
      <c r="CH18" s="94"/>
      <c r="CI18" s="90"/>
      <c r="CJ18" s="90"/>
      <c r="CK18" s="90"/>
      <c r="CL18" s="90"/>
      <c r="CM18" s="90"/>
      <c r="CN18" s="90"/>
      <c r="CO18" s="90" t="s">
        <v>713</v>
      </c>
      <c r="CP18" s="90" t="n">
        <v>3</v>
      </c>
      <c r="CQ18" s="90"/>
      <c r="CR18" s="90"/>
      <c r="CS18" s="90"/>
      <c r="CT18" s="90"/>
      <c r="CU18" s="90"/>
      <c r="CV18" s="94"/>
      <c r="CW18" s="94"/>
      <c r="CX18" s="94"/>
      <c r="CY18" s="94"/>
      <c r="CZ18" s="94"/>
      <c r="DA18" s="94"/>
      <c r="DB18" s="94" t="s">
        <v>713</v>
      </c>
      <c r="DC18" s="94" t="n">
        <v>4</v>
      </c>
      <c r="DD18" s="94"/>
      <c r="DE18" s="94"/>
      <c r="DF18" s="94"/>
      <c r="DG18" s="94"/>
      <c r="DH18" s="94"/>
      <c r="DI18" s="90"/>
      <c r="DJ18" s="90"/>
      <c r="DK18" s="90"/>
      <c r="DL18" s="95"/>
      <c r="DM18" s="95"/>
      <c r="DN18" s="95"/>
      <c r="DO18" s="95"/>
      <c r="DP18" s="95"/>
      <c r="DQ18" s="95"/>
      <c r="DR18" s="89"/>
      <c r="DS18" s="95"/>
      <c r="DT18" s="95"/>
      <c r="DU18" s="89"/>
      <c r="DV18" s="89"/>
      <c r="DW18" s="89"/>
      <c r="DX18" s="89"/>
      <c r="DY18" s="89"/>
      <c r="EA18" s="97"/>
      <c r="AMA18" s="0"/>
      <c r="AMB18" s="0"/>
      <c r="AMC18" s="0"/>
      <c r="AMD18" s="0"/>
      <c r="AME18" s="0"/>
      <c r="AMF18" s="0"/>
      <c r="AMG18" s="0"/>
      <c r="AMH18" s="0"/>
      <c r="AMI18" s="0"/>
      <c r="AMJ18" s="0"/>
    </row>
    <row r="19" customFormat="false" ht="63.2" hidden="false" customHeight="true" outlineLevel="0" collapsed="false">
      <c r="A19" s="39" t="s">
        <v>394</v>
      </c>
      <c r="B19" s="39" t="s">
        <v>335</v>
      </c>
      <c r="C19" s="41" t="s">
        <v>336</v>
      </c>
      <c r="D19" s="41" t="s">
        <v>714</v>
      </c>
      <c r="E19" s="39" t="s">
        <v>337</v>
      </c>
      <c r="F19" s="41" t="s">
        <v>715</v>
      </c>
      <c r="G19" s="41" t="s">
        <v>716</v>
      </c>
      <c r="H19" s="41" t="s">
        <v>339</v>
      </c>
      <c r="I19" s="41" t="s">
        <v>717</v>
      </c>
      <c r="J19" s="41" t="s">
        <v>718</v>
      </c>
      <c r="K19" s="41" t="s">
        <v>719</v>
      </c>
      <c r="L19" s="41" t="s">
        <v>720</v>
      </c>
      <c r="M19" s="41" t="s">
        <v>721</v>
      </c>
      <c r="N19" s="41" t="s">
        <v>399</v>
      </c>
      <c r="O19" s="41" t="s">
        <v>400</v>
      </c>
      <c r="P19" s="41" t="s">
        <v>401</v>
      </c>
      <c r="Q19" s="41" t="s">
        <v>402</v>
      </c>
      <c r="R19" s="41" t="s">
        <v>403</v>
      </c>
      <c r="S19" s="41" t="s">
        <v>404</v>
      </c>
      <c r="T19" s="41" t="s">
        <v>722</v>
      </c>
      <c r="U19" s="41" t="s">
        <v>723</v>
      </c>
      <c r="V19" s="41" t="s">
        <v>724</v>
      </c>
      <c r="W19" s="41" t="s">
        <v>725</v>
      </c>
      <c r="X19" s="41" t="s">
        <v>726</v>
      </c>
      <c r="Y19" s="41" t="s">
        <v>727</v>
      </c>
      <c r="Z19" s="41" t="s">
        <v>728</v>
      </c>
      <c r="AA19" s="41" t="s">
        <v>729</v>
      </c>
      <c r="AB19" s="40" t="s">
        <v>340</v>
      </c>
      <c r="AC19" s="40" t="s">
        <v>333</v>
      </c>
      <c r="AD19" s="40" t="s">
        <v>730</v>
      </c>
      <c r="AE19" s="40" t="s">
        <v>417</v>
      </c>
      <c r="AF19" s="40" t="s">
        <v>626</v>
      </c>
      <c r="AG19" s="39" t="s">
        <v>422</v>
      </c>
      <c r="AH19" s="41" t="s">
        <v>627</v>
      </c>
      <c r="AI19" s="43" t="s">
        <v>424</v>
      </c>
      <c r="AJ19" s="43" t="s">
        <v>425</v>
      </c>
      <c r="AK19" s="98" t="s">
        <v>731</v>
      </c>
      <c r="AL19" s="98" t="s">
        <v>732</v>
      </c>
      <c r="AM19" s="98" t="s">
        <v>338</v>
      </c>
      <c r="AN19" s="98" t="s">
        <v>733</v>
      </c>
      <c r="AO19" s="98" t="s">
        <v>734</v>
      </c>
      <c r="AP19" s="98" t="s">
        <v>735</v>
      </c>
      <c r="AQ19" s="41" t="s">
        <v>736</v>
      </c>
      <c r="AR19" s="41" t="s">
        <v>737</v>
      </c>
      <c r="AS19" s="41" t="s">
        <v>738</v>
      </c>
      <c r="AT19" s="41" t="s">
        <v>431</v>
      </c>
      <c r="AU19" s="41" t="s">
        <v>432</v>
      </c>
      <c r="AV19" s="41" t="s">
        <v>739</v>
      </c>
      <c r="AW19" s="41" t="s">
        <v>740</v>
      </c>
      <c r="AX19" s="41" t="s">
        <v>741</v>
      </c>
      <c r="AY19" s="41" t="s">
        <v>742</v>
      </c>
      <c r="AZ19" s="41" t="s">
        <v>743</v>
      </c>
      <c r="BA19" s="39" t="s">
        <v>433</v>
      </c>
      <c r="BB19" s="39" t="s">
        <v>434</v>
      </c>
      <c r="BC19" s="39" t="s">
        <v>435</v>
      </c>
      <c r="BD19" s="41" t="s">
        <v>436</v>
      </c>
      <c r="BE19" s="41" t="s">
        <v>437</v>
      </c>
      <c r="BF19" s="41" t="s">
        <v>744</v>
      </c>
      <c r="BG19" s="41" t="s">
        <v>745</v>
      </c>
      <c r="BH19" s="41" t="s">
        <v>746</v>
      </c>
      <c r="BI19" s="99" t="n">
        <f aca="false">MIN(AK20:AK56)</f>
        <v>44927</v>
      </c>
      <c r="BJ19" s="99" t="n">
        <f aca="false">BI19+$DH$17</f>
        <v>44941.0384615385</v>
      </c>
      <c r="BK19" s="99" t="n">
        <f aca="false">BJ19+$DH$17</f>
        <v>44955.0769230769</v>
      </c>
      <c r="BL19" s="99" t="n">
        <f aca="false">BK19+$DH$17</f>
        <v>44969.1153846154</v>
      </c>
      <c r="BM19" s="99" t="n">
        <f aca="false">BL19+$DH$17</f>
        <v>44983.1538461539</v>
      </c>
      <c r="BN19" s="99" t="n">
        <f aca="false">BM19+$DH$17</f>
        <v>44997.1923076923</v>
      </c>
      <c r="BO19" s="99" t="n">
        <f aca="false">BN19+$DH$17</f>
        <v>45011.2307692308</v>
      </c>
      <c r="BP19" s="99" t="n">
        <f aca="false">BO19+$DH$17</f>
        <v>45025.2692307692</v>
      </c>
      <c r="BQ19" s="99" t="n">
        <f aca="false">BP19+$DH$17</f>
        <v>45039.3076923077</v>
      </c>
      <c r="BR19" s="99" t="n">
        <f aca="false">BQ19+$DH$17</f>
        <v>45053.3461538462</v>
      </c>
      <c r="BS19" s="99" t="n">
        <f aca="false">BR19+$DH$17</f>
        <v>45067.3846153846</v>
      </c>
      <c r="BT19" s="99" t="n">
        <f aca="false">BS19+$DH$17</f>
        <v>45081.4230769231</v>
      </c>
      <c r="BU19" s="99" t="n">
        <f aca="false">BT19+$DH$17</f>
        <v>45095.4615384615</v>
      </c>
      <c r="BV19" s="99" t="n">
        <f aca="false">BU19+$DH$17</f>
        <v>45109.5</v>
      </c>
      <c r="BW19" s="99" t="n">
        <f aca="false">BV19+$DH$17</f>
        <v>45123.5384615385</v>
      </c>
      <c r="BX19" s="99" t="n">
        <f aca="false">BW19+$DH$17</f>
        <v>45137.5769230769</v>
      </c>
      <c r="BY19" s="99" t="n">
        <f aca="false">BX19+$DH$17</f>
        <v>45151.6153846154</v>
      </c>
      <c r="BZ19" s="99" t="n">
        <f aca="false">BY19+$DH$17</f>
        <v>45165.6538461538</v>
      </c>
      <c r="CA19" s="99" t="n">
        <f aca="false">BZ19+$DH$17</f>
        <v>45179.6923076923</v>
      </c>
      <c r="CB19" s="99" t="n">
        <f aca="false">CA19+$DH$17</f>
        <v>45193.7307692308</v>
      </c>
      <c r="CC19" s="99" t="n">
        <f aca="false">CB19+$DH$17</f>
        <v>45207.7692307692</v>
      </c>
      <c r="CD19" s="99" t="n">
        <f aca="false">CC19+$DH$17</f>
        <v>45221.8076923077</v>
      </c>
      <c r="CE19" s="99" t="n">
        <f aca="false">CD19+$DH$17</f>
        <v>45235.8461538461</v>
      </c>
      <c r="CF19" s="99" t="n">
        <f aca="false">CE19+$DH$17</f>
        <v>45249.8846153846</v>
      </c>
      <c r="CG19" s="99" t="n">
        <f aca="false">CF19+$DH$17</f>
        <v>45263.9230769231</v>
      </c>
      <c r="CH19" s="99" t="n">
        <f aca="false">CG19+$DH$17</f>
        <v>45277.9615384615</v>
      </c>
      <c r="CI19" s="99" t="n">
        <f aca="false">CH19+$DH$17</f>
        <v>45292</v>
      </c>
      <c r="CJ19" s="99" t="n">
        <f aca="false">CI19+$DH$17</f>
        <v>45306.0384615385</v>
      </c>
      <c r="CK19" s="99" t="n">
        <f aca="false">CJ19+$DH$17</f>
        <v>45320.0769230769</v>
      </c>
      <c r="CL19" s="99" t="n">
        <f aca="false">CK19+$DH$17</f>
        <v>45334.1153846154</v>
      </c>
      <c r="CM19" s="99" t="n">
        <f aca="false">CL19+$DH$17</f>
        <v>45348.1538461538</v>
      </c>
      <c r="CN19" s="99" t="n">
        <f aca="false">CM19+$DH$17</f>
        <v>45362.1923076923</v>
      </c>
      <c r="CO19" s="99" t="n">
        <f aca="false">CN19+$DH$17</f>
        <v>45376.2307692308</v>
      </c>
      <c r="CP19" s="99" t="n">
        <f aca="false">CO19+$DH$17</f>
        <v>45390.2692307692</v>
      </c>
      <c r="CQ19" s="99" t="n">
        <f aca="false">CP19+$DH$17</f>
        <v>45404.3076923077</v>
      </c>
      <c r="CR19" s="99" t="n">
        <f aca="false">CQ19+$DH$17</f>
        <v>45418.3461538461</v>
      </c>
      <c r="CS19" s="99" t="n">
        <f aca="false">CR19+$DH$17</f>
        <v>45432.3846153846</v>
      </c>
      <c r="CT19" s="99" t="n">
        <f aca="false">CS19+$DH$17</f>
        <v>45446.4230769231</v>
      </c>
      <c r="CU19" s="99" t="n">
        <f aca="false">CT19+$DH$17</f>
        <v>45460.4615384615</v>
      </c>
      <c r="CV19" s="99" t="n">
        <f aca="false">CU19+$DH$17</f>
        <v>45474.5</v>
      </c>
      <c r="CW19" s="99" t="n">
        <f aca="false">CV19+$DH$17</f>
        <v>45488.5384615384</v>
      </c>
      <c r="CX19" s="99" t="n">
        <f aca="false">CW19+$DH$17</f>
        <v>45502.5769230769</v>
      </c>
      <c r="CY19" s="99" t="n">
        <f aca="false">CX19+$DH$17</f>
        <v>45516.6153846154</v>
      </c>
      <c r="CZ19" s="99" t="n">
        <f aca="false">CY19+$DH$17</f>
        <v>45530.6538461538</v>
      </c>
      <c r="DA19" s="99" t="n">
        <f aca="false">CZ19+$DH$17</f>
        <v>45544.6923076923</v>
      </c>
      <c r="DB19" s="99" t="n">
        <f aca="false">DA19+$DH$17</f>
        <v>45558.7307692307</v>
      </c>
      <c r="DC19" s="99" t="n">
        <f aca="false">DB19+$DH$17</f>
        <v>45572.7692307692</v>
      </c>
      <c r="DD19" s="99" t="n">
        <f aca="false">DC19+$DH$17</f>
        <v>45586.8076923077</v>
      </c>
      <c r="DE19" s="99" t="n">
        <f aca="false">DD19+$DH$17</f>
        <v>45600.8461538461</v>
      </c>
      <c r="DF19" s="99" t="n">
        <f aca="false">DE19+$DH$17</f>
        <v>45614.8846153846</v>
      </c>
      <c r="DG19" s="99" t="n">
        <f aca="false">DF19+$DH$17</f>
        <v>45628.9230769231</v>
      </c>
      <c r="DH19" s="99" t="n">
        <f aca="false">MAX(AL:AL,DATE(YEAR($A$17),12,31))</f>
        <v>45657</v>
      </c>
      <c r="DI19" s="39" t="s">
        <v>438</v>
      </c>
      <c r="DJ19" s="39" t="s">
        <v>439</v>
      </c>
      <c r="DK19" s="39" t="s">
        <v>747</v>
      </c>
      <c r="DL19" s="100" t="s">
        <v>440</v>
      </c>
      <c r="DM19" s="100" t="s">
        <v>441</v>
      </c>
      <c r="DN19" s="100" t="s">
        <v>748</v>
      </c>
      <c r="DO19" s="100" t="s">
        <v>749</v>
      </c>
      <c r="DP19" s="100" t="s">
        <v>750</v>
      </c>
      <c r="DQ19" s="100" t="s">
        <v>751</v>
      </c>
      <c r="DR19" s="41" t="s">
        <v>752</v>
      </c>
      <c r="DS19" s="100" t="s">
        <v>753</v>
      </c>
      <c r="DT19" s="100" t="s">
        <v>754</v>
      </c>
      <c r="DU19" s="41" t="s">
        <v>755</v>
      </c>
      <c r="DV19" s="41" t="s">
        <v>756</v>
      </c>
      <c r="DW19" s="41" t="s">
        <v>757</v>
      </c>
      <c r="DX19" s="41" t="s">
        <v>758</v>
      </c>
      <c r="DY19" s="41" t="s">
        <v>442</v>
      </c>
    </row>
    <row r="20" customFormat="false" ht="8.75" hidden="false" customHeight="true" outlineLevel="0" collapsed="false">
      <c r="A20" s="45" t="str">
        <f aca="false">A19</f>
        <v>A</v>
      </c>
      <c r="B20" s="45" t="str">
        <f aca="false">B19</f>
        <v>Item Type</v>
      </c>
      <c r="C20" s="46" t="str">
        <f aca="false">C19</f>
        <v>Lvl</v>
      </c>
      <c r="D20" s="46" t="str">
        <f aca="false">AC19</f>
        <v>Sort</v>
      </c>
      <c r="E20" s="45" t="str">
        <f aca="false">E19</f>
        <v>Self</v>
      </c>
      <c r="F20" s="46" t="str">
        <f aca="false">F19</f>
        <v>Self Pty</v>
      </c>
      <c r="G20" s="46" t="str">
        <f aca="false">G19</f>
        <v>Self+1</v>
      </c>
      <c r="H20" s="46" t="str">
        <f aca="false">H19</f>
        <v>Self+1 Pty</v>
      </c>
      <c r="I20" s="46" t="str">
        <f aca="false">I19</f>
        <v>Self+2</v>
      </c>
      <c r="J20" s="46" t="str">
        <f aca="false">J19</f>
        <v>Self+2 Pty</v>
      </c>
      <c r="K20" s="46" t="str">
        <f aca="false">K19</f>
        <v>Self+3</v>
      </c>
      <c r="L20" s="46" t="str">
        <f aca="false">L19</f>
        <v>Report Status</v>
      </c>
      <c r="M20" s="46" t="str">
        <f aca="false">M19</f>
        <v>Status</v>
      </c>
      <c r="N20" s="46" t="str">
        <f aca="false">N19</f>
        <v>Tasks Open</v>
      </c>
      <c r="O20" s="46" t="str">
        <f aca="false">O19</f>
        <v>Tasks Started</v>
      </c>
      <c r="P20" s="46" t="str">
        <f aca="false">P19</f>
        <v>Tasks Pending</v>
      </c>
      <c r="Q20" s="46" t="str">
        <f aca="false">Q19</f>
        <v>Tasks Urgent</v>
      </c>
      <c r="R20" s="46" t="str">
        <f aca="false">R19</f>
        <v>Tasks Done</v>
      </c>
      <c r="S20" s="46" t="str">
        <f aca="false">S19</f>
        <v>Tasks Total</v>
      </c>
      <c r="T20" s="46" t="str">
        <f aca="false">T19</f>
        <v>Target Drill / Action Effort</v>
      </c>
      <c r="U20" s="46" t="str">
        <f aca="false">U19</f>
        <v>Target Sub / Stream Effort</v>
      </c>
      <c r="V20" s="46" t="str">
        <f aca="false">V19</f>
        <v>Target Routine / Project Effort</v>
      </c>
      <c r="W20" s="46" t="str">
        <f aca="false">W19</f>
        <v>Target Venture Effort</v>
      </c>
      <c r="X20" s="46"/>
      <c r="Y20" s="46" t="str">
        <f aca="false">Y19</f>
        <v>Actual Sub / Stream Effort</v>
      </c>
      <c r="Z20" s="46" t="str">
        <f aca="false">Z19</f>
        <v>Actual Routine / Project Effort</v>
      </c>
      <c r="AA20" s="46" t="str">
        <f aca="false">AA19</f>
        <v>Actual Venture Effort</v>
      </c>
      <c r="AB20" s="46" t="str">
        <f aca="false">AB19</f>
        <v>Key</v>
      </c>
      <c r="AC20" s="45" t="str">
        <f aca="false">AC19</f>
        <v>Sort</v>
      </c>
      <c r="AD20" s="45" t="str">
        <f aca="false">AD19</f>
        <v>Active?</v>
      </c>
      <c r="AE20" s="46" t="str">
        <f aca="false">AE19</f>
        <v>Rep ?</v>
      </c>
      <c r="AF20" s="45" t="str">
        <f aca="false">AF19</f>
        <v>Force Rep?</v>
      </c>
      <c r="AG20" s="45" t="str">
        <f aca="false">AG19</f>
        <v>Tag</v>
      </c>
      <c r="AH20" s="46" t="str">
        <f aca="false">AH19</f>
        <v>Planning Type</v>
      </c>
      <c r="AI20" s="47" t="str">
        <f aca="false">AI19</f>
        <v>Name</v>
      </c>
      <c r="AJ20" s="47" t="str">
        <f aca="false">AJ19</f>
        <v>Overview</v>
      </c>
      <c r="AK20" s="46" t="str">
        <f aca="false">AK19</f>
        <v>Start Date</v>
      </c>
      <c r="AL20" s="46" t="str">
        <f aca="false">AL19</f>
        <v>End Date</v>
      </c>
      <c r="AM20" s="46" t="str">
        <f aca="false">AM19</f>
        <v>Hold Date</v>
      </c>
      <c r="AN20" s="46" t="str">
        <f aca="false">AN19</f>
        <v>Complete Date</v>
      </c>
      <c r="AO20" s="46" t="str">
        <f aca="false">AO19</f>
        <v>Target Effort</v>
      </c>
      <c r="AP20" s="46" t="str">
        <f aca="false">AP19</f>
        <v>Actual Effort</v>
      </c>
      <c r="AQ20" s="46" t="str">
        <f aca="false">AQ19</f>
        <v>Whom By</v>
      </c>
      <c r="AR20" s="46" t="str">
        <f aca="false">AR19</f>
        <v>Whom For</v>
      </c>
      <c r="AS20" s="46" t="str">
        <f aca="false">AR19</f>
        <v>Whom For</v>
      </c>
      <c r="AT20" s="46" t="str">
        <f aca="false">AT19</f>
        <v>Goal</v>
      </c>
      <c r="AU20" s="46" t="str">
        <f aca="false">AU19</f>
        <v>Sub-Goal</v>
      </c>
      <c r="AV20" s="46" t="str">
        <f aca="false">AV19</f>
        <v>Target Revenue Increase</v>
      </c>
      <c r="AW20" s="46" t="str">
        <f aca="false">AW19</f>
        <v>Target Cost Savings</v>
      </c>
      <c r="AX20" s="46" t="str">
        <f aca="false">AX19</f>
        <v>Target Risk Avoidance</v>
      </c>
      <c r="AY20" s="46" t="str">
        <f aca="false">AY19</f>
        <v>Target Project Cost</v>
      </c>
      <c r="AZ20" s="46" t="str">
        <f aca="false">AZ19</f>
        <v>Actual Project Cost</v>
      </c>
      <c r="BA20" s="45" t="str">
        <f aca="false">BA19</f>
        <v>Reference</v>
      </c>
      <c r="BB20" s="45" t="str">
        <f aca="false">BB19</f>
        <v>Notes</v>
      </c>
      <c r="BC20" s="45" t="str">
        <f aca="false">AQ19</f>
        <v>Whom By</v>
      </c>
      <c r="BD20" s="46" t="str">
        <f aca="false">BD19</f>
        <v>Tasks Left</v>
      </c>
      <c r="BE20" s="46" t="str">
        <f aca="false">BE19</f>
        <v>Task Progress</v>
      </c>
      <c r="BF20" s="46" t="str">
        <f aca="false">BF19</f>
        <v>Total Target Effort</v>
      </c>
      <c r="BG20" s="46" t="str">
        <f aca="false">BG19</f>
        <v>Total Actual Effort</v>
      </c>
      <c r="BH20" s="46" t="str">
        <f aca="false">BH19</f>
        <v>Effort %</v>
      </c>
      <c r="BI20" s="101" t="n">
        <f aca="false">BI19</f>
        <v>44927</v>
      </c>
      <c r="BJ20" s="101" t="n">
        <f aca="false">BJ19</f>
        <v>44941.0384615385</v>
      </c>
      <c r="BK20" s="101" t="n">
        <f aca="false">BK19</f>
        <v>44955.0769230769</v>
      </c>
      <c r="BL20" s="101" t="n">
        <f aca="false">BL19</f>
        <v>44969.1153846154</v>
      </c>
      <c r="BM20" s="101" t="n">
        <f aca="false">BM19</f>
        <v>44983.1538461539</v>
      </c>
      <c r="BN20" s="101" t="n">
        <f aca="false">BN19</f>
        <v>44997.1923076923</v>
      </c>
      <c r="BO20" s="101" t="n">
        <f aca="false">BO19</f>
        <v>45011.2307692308</v>
      </c>
      <c r="BP20" s="101" t="n">
        <f aca="false">BP19</f>
        <v>45025.2692307692</v>
      </c>
      <c r="BQ20" s="101" t="n">
        <f aca="false">BQ19</f>
        <v>45039.3076923077</v>
      </c>
      <c r="BR20" s="101" t="n">
        <f aca="false">BR19</f>
        <v>45053.3461538462</v>
      </c>
      <c r="BS20" s="101" t="n">
        <f aca="false">BS19</f>
        <v>45067.3846153846</v>
      </c>
      <c r="BT20" s="101" t="n">
        <f aca="false">BT19</f>
        <v>45081.4230769231</v>
      </c>
      <c r="BU20" s="101" t="n">
        <f aca="false">BU19</f>
        <v>45095.4615384615</v>
      </c>
      <c r="BV20" s="101" t="n">
        <f aca="false">BV19</f>
        <v>45109.5</v>
      </c>
      <c r="BW20" s="101" t="n">
        <f aca="false">BW19</f>
        <v>45123.5384615385</v>
      </c>
      <c r="BX20" s="101" t="n">
        <f aca="false">BX19</f>
        <v>45137.5769230769</v>
      </c>
      <c r="BY20" s="101" t="n">
        <f aca="false">BY19</f>
        <v>45151.6153846154</v>
      </c>
      <c r="BZ20" s="101" t="n">
        <f aca="false">BZ19</f>
        <v>45165.6538461538</v>
      </c>
      <c r="CA20" s="101" t="n">
        <f aca="false">CA19</f>
        <v>45179.6923076923</v>
      </c>
      <c r="CB20" s="101" t="n">
        <f aca="false">CB19</f>
        <v>45193.7307692308</v>
      </c>
      <c r="CC20" s="101" t="n">
        <f aca="false">CC19</f>
        <v>45207.7692307692</v>
      </c>
      <c r="CD20" s="101" t="n">
        <f aca="false">CD19</f>
        <v>45221.8076923077</v>
      </c>
      <c r="CE20" s="101" t="n">
        <f aca="false">CE19</f>
        <v>45235.8461538461</v>
      </c>
      <c r="CF20" s="101" t="n">
        <f aca="false">CF19</f>
        <v>45249.8846153846</v>
      </c>
      <c r="CG20" s="101" t="n">
        <f aca="false">CG19</f>
        <v>45263.9230769231</v>
      </c>
      <c r="CH20" s="101" t="n">
        <f aca="false">CH19</f>
        <v>45277.9615384615</v>
      </c>
      <c r="CI20" s="101" t="n">
        <f aca="false">CI19</f>
        <v>45292</v>
      </c>
      <c r="CJ20" s="101" t="n">
        <f aca="false">CJ19</f>
        <v>45306.0384615385</v>
      </c>
      <c r="CK20" s="101" t="n">
        <f aca="false">CK19</f>
        <v>45320.0769230769</v>
      </c>
      <c r="CL20" s="101" t="n">
        <f aca="false">CL19</f>
        <v>45334.1153846154</v>
      </c>
      <c r="CM20" s="101" t="n">
        <f aca="false">CM19</f>
        <v>45348.1538461538</v>
      </c>
      <c r="CN20" s="101" t="n">
        <f aca="false">CN19</f>
        <v>45362.1923076923</v>
      </c>
      <c r="CO20" s="101" t="n">
        <f aca="false">CO19</f>
        <v>45376.2307692308</v>
      </c>
      <c r="CP20" s="101" t="n">
        <f aca="false">CP19</f>
        <v>45390.2692307692</v>
      </c>
      <c r="CQ20" s="101" t="n">
        <f aca="false">CQ19</f>
        <v>45404.3076923077</v>
      </c>
      <c r="CR20" s="101" t="n">
        <f aca="false">CR19</f>
        <v>45418.3461538461</v>
      </c>
      <c r="CS20" s="101" t="n">
        <f aca="false">CS19</f>
        <v>45432.3846153846</v>
      </c>
      <c r="CT20" s="101" t="n">
        <f aca="false">CT19</f>
        <v>45446.4230769231</v>
      </c>
      <c r="CU20" s="101" t="n">
        <f aca="false">CU19</f>
        <v>45460.4615384615</v>
      </c>
      <c r="CV20" s="101" t="n">
        <f aca="false">CV19</f>
        <v>45474.5</v>
      </c>
      <c r="CW20" s="101" t="n">
        <f aca="false">CW19</f>
        <v>45488.5384615384</v>
      </c>
      <c r="CX20" s="101" t="n">
        <f aca="false">CX19</f>
        <v>45502.5769230769</v>
      </c>
      <c r="CY20" s="101" t="n">
        <f aca="false">CY19</f>
        <v>45516.6153846154</v>
      </c>
      <c r="CZ20" s="101" t="n">
        <f aca="false">CZ19</f>
        <v>45530.6538461538</v>
      </c>
      <c r="DA20" s="101" t="n">
        <f aca="false">DA19</f>
        <v>45544.6923076923</v>
      </c>
      <c r="DB20" s="101" t="n">
        <f aca="false">DB19</f>
        <v>45558.7307692307</v>
      </c>
      <c r="DC20" s="101" t="n">
        <f aca="false">DC19</f>
        <v>45572.7692307692</v>
      </c>
      <c r="DD20" s="101" t="n">
        <f aca="false">DD19</f>
        <v>45586.8076923077</v>
      </c>
      <c r="DE20" s="101" t="n">
        <f aca="false">DE19</f>
        <v>45600.8461538461</v>
      </c>
      <c r="DF20" s="101" t="n">
        <f aca="false">DF19</f>
        <v>45614.8846153846</v>
      </c>
      <c r="DG20" s="101" t="n">
        <f aca="false">DG19</f>
        <v>45628.9230769231</v>
      </c>
      <c r="DH20" s="101" t="n">
        <f aca="false">DH19</f>
        <v>45657</v>
      </c>
      <c r="DI20" s="45" t="str">
        <f aca="false">DI19</f>
        <v>First Note</v>
      </c>
      <c r="DJ20" s="45" t="str">
        <f aca="false">DJ19</f>
        <v>Last Note</v>
      </c>
      <c r="DK20" s="45" t="str">
        <f aca="false">DK19</f>
        <v>Last Task</v>
      </c>
      <c r="DL20" s="45" t="str">
        <f aca="false">DL19</f>
        <v>First Note Date</v>
      </c>
      <c r="DM20" s="45" t="str">
        <f aca="false">DM19</f>
        <v>Last Note Date</v>
      </c>
      <c r="DN20" s="45" t="str">
        <f aca="false">DN19</f>
        <v>Created Date</v>
      </c>
      <c r="DO20" s="45" t="str">
        <f aca="false">DO19</f>
        <v>Updated Date</v>
      </c>
      <c r="DP20" s="45" t="str">
        <f aca="false">DP19</f>
        <v>Days since Creation</v>
      </c>
      <c r="DQ20" s="45" t="str">
        <f aca="false">DQ19</f>
        <v>Days since Update Date</v>
      </c>
      <c r="DR20" s="46" t="str">
        <f aca="false">DR19</f>
        <v>WK since Updated</v>
      </c>
      <c r="DS20" s="102" t="str">
        <f aca="false">DS19</f>
        <v>Days Overdue</v>
      </c>
      <c r="DT20" s="102" t="str">
        <f aca="false">DT19</f>
        <v>Days to End Date</v>
      </c>
      <c r="DU20" s="46" t="str">
        <f aca="false">DU19</f>
        <v>Run / Chg</v>
      </c>
      <c r="DV20" s="46" t="str">
        <f aca="false">DV19</f>
        <v>Color</v>
      </c>
      <c r="DW20" s="46" t="str">
        <f aca="false">DW19</f>
        <v>Dynamic Gannt Chart Start</v>
      </c>
      <c r="DX20" s="46" t="str">
        <f aca="false">DX19</f>
        <v>Dynamic Cantt Chart End</v>
      </c>
      <c r="DY20" s="46" t="str">
        <f aca="false">DY19</f>
        <v>Z</v>
      </c>
    </row>
    <row r="21" customFormat="false" ht="14.15" hidden="false" customHeight="true" outlineLevel="0" collapsed="false">
      <c r="A21" s="63"/>
      <c r="B21" s="53" t="str">
        <f aca="false">AH21</f>
        <v>Venture</v>
      </c>
      <c r="C21" s="51" t="n">
        <f aca="false">IFERROR(INDEX(Static!$D$5:$F$11,MATCH(AH21,Static!$D$5:$D$11,0),3),90000000)</f>
        <v>10000000</v>
      </c>
      <c r="D21" s="51" t="str">
        <f aca="false">MID(C21,2,1)</f>
        <v>0</v>
      </c>
      <c r="E21" s="53" t="str">
        <f aca="false">AB21</f>
        <v>VNT</v>
      </c>
      <c r="F21" s="51" t="n">
        <f aca="false">IF(B21="Venture",0,IF(OR(B21="Project",B21="Stream",B21="Action"),AK21,""))</f>
        <v>0</v>
      </c>
      <c r="G21" s="51" t="str">
        <f aca="false">AS21</f>
        <v>VNT</v>
      </c>
      <c r="H21" s="51" t="n">
        <f aca="false">IF(B21="Venture",0,IFERROR(INDEX($E$20:$F$55,MATCH(G21,$E$20:$E$55,0),2),""))</f>
        <v>0</v>
      </c>
      <c r="I21" s="51" t="n">
        <f aca="false">IF(B21="Venture",0,IFERROR(INDEX($E$20:$G$55,MATCH(G21,$E$20:$E$55,0),3),""))</f>
        <v>0</v>
      </c>
      <c r="J21" s="51" t="n">
        <f aca="false">IF(B21="Venture",0,IFERROR(INDEX($E$20:$H$55,MATCH(G21,$E$20:$E$55,0),4),""))</f>
        <v>0</v>
      </c>
      <c r="K21" s="51" t="n">
        <f aca="false">IF(B21="Venture",0,IFERROR(INDEX($E$20:$G$55,MATCH(I21,$E$20:$E$55,0),3),""))</f>
        <v>0</v>
      </c>
      <c r="L21" s="51" t="str">
        <f aca="false">IF(M21="Completed","Completed","Ongoing")</f>
        <v>Ongoing</v>
      </c>
      <c r="M21" s="51" t="str">
        <f aca="false">IF(OR(AH21="Venture",AH21="Routine",AH21="Run Goal", AH21="Chg Goal", AH21=""),AH21,IF(AN21&lt;&gt;"","Completed",IF(AM21&lt;&gt;"","Pending",IF(AND(AL21&lt;&gt;"",$A$17&gt;AL21),"Overdue",IF($A$17&gt;AK21,"Started","Open")))))</f>
        <v>Venture</v>
      </c>
      <c r="N21" s="50" t="n">
        <f aca="false">((LEN($BC21)-LEN(SUBSTITUTE($BC21,CHAR(10)&amp;". ","")))/3)+IF(LEFT(TRIM($BC21),2)=". ",1,0)</f>
        <v>2</v>
      </c>
      <c r="O21" s="50" t="n">
        <f aca="false">((LEN($BC21)-LEN(SUBSTITUTE($BC21,CHAR(10)&amp;"/ ","")))/3)+IF(LEFT(TRIM($BC21),2)="/ ",1,0)</f>
        <v>1</v>
      </c>
      <c r="P21" s="50" t="n">
        <f aca="false">((LEN($BC21)-LEN(SUBSTITUTE($BC21,CHAR(10)&amp;"~ ","")))/3)+IF(LEFT(TRIM($BC21),2)="~ ",1,0)</f>
        <v>1</v>
      </c>
      <c r="Q21" s="50" t="n">
        <f aca="false">((LEN($BC21)-LEN(SUBSTITUTE($BC21,CHAR(10)&amp;"! ","")))/3)+IF(LEFT(TRIM($BC21),2)="! ",1,0)</f>
        <v>1</v>
      </c>
      <c r="R21" s="50" t="n">
        <f aca="false">((LEN($BC21)-LEN(SUBSTITUTE($BC21,CHAR(10)&amp;"x ","")))/3)+IF(LEFT(TRIM($BC21),2)="x ",1,0)</f>
        <v>1</v>
      </c>
      <c r="S21" s="50" t="n">
        <f aca="false">SUM(N21:R21)</f>
        <v>6</v>
      </c>
      <c r="T21" s="51" t="n">
        <f aca="false">IF(OR($B21="Drill",$B21="Action"),$AO21,0)</f>
        <v>0</v>
      </c>
      <c r="U21" s="51" t="n">
        <f aca="false">IF(OR($B21="Sub",$B21="Stream"),$AO21+SUMIFS($AO$20:$AO$55,$G$20:$G$55,$E21),0)</f>
        <v>0</v>
      </c>
      <c r="V21" s="51" t="n">
        <f aca="false">IF(OR($B21="Routine",$B21="Project"),$AO21+SUMIFS($U$20:$U$55,$G$20:$G$55,$E21),0)</f>
        <v>0</v>
      </c>
      <c r="W21" s="51" t="n">
        <f aca="false">IF($B21="Venture",$AO21+SUMIFS($V$20:$V$55,$G$20:$G$55,$E21),0)</f>
        <v>9</v>
      </c>
      <c r="X21" s="51" t="n">
        <f aca="false">IF(OR($B21="Drill",$B21="Action"),$AP21,0)</f>
        <v>0</v>
      </c>
      <c r="Y21" s="51" t="n">
        <f aca="false">IF(OR($B21="Sub",$B21="Stream"),$AP21+SUMIFS($AP$20:$AP$55,$G$20:$G$55,$E21),0)</f>
        <v>0</v>
      </c>
      <c r="Z21" s="51" t="n">
        <f aca="false">IF(OR($B21="Routine",$B21="Project"),$AP21+SUMIFS($Y$20:$Y$55,$G$20:$G$55,$E21),0)</f>
        <v>0</v>
      </c>
      <c r="AA21" s="51" t="n">
        <f aca="false">IF($B21="Venture",$AP21+SUMIFS($Z$20:$Z$55,$G$20:$G$55,$E21),0)</f>
        <v>7</v>
      </c>
      <c r="AB21" s="51" t="str">
        <f aca="false">IF(OR(AH21="Venture", AH21="Run Goal", AH21="Chg Goal"),AI21,AH21&amp;AI21&amp;AR21)</f>
        <v>VNT</v>
      </c>
      <c r="AC21" s="53" t="str">
        <f aca="false">"  -  "&amp;IF(C21=90000000,9&amp;"Z",D21&amp;AE21&amp;IF(OR(B21="Run Goal",B21="Chg Goal", B21="Venture"),"",IF(OR(B21="Routine",B21="Project"),F21&amp;E21,  IF(OR(B21="Sub",B21="Stream"),H21&amp;G21&amp;F21&amp;E21,IF(OR(B21="Drill",B21="Action"),J21&amp;I21&amp;H21&amp;G21&amp;F21&amp;E21,     "") )    )))</f>
        <v>  -  0N</v>
      </c>
      <c r="AD21" s="51" t="str">
        <f aca="false">IF(AND(AM21="",AN21=""),"Y","N")</f>
        <v>Y</v>
      </c>
      <c r="AE21" s="103" t="str">
        <f aca="false">IF(OR(AF21="Y",AF21="Y"),AF21,IF(DM21="none","N",IF(DM21&gt;($A$17-WEEKDAY($A$17,2)-(7*$AE$18)),"Y","N")))</f>
        <v>N</v>
      </c>
      <c r="AF21" s="104"/>
      <c r="AG21" s="105"/>
      <c r="AH21" s="79" t="s">
        <v>759</v>
      </c>
      <c r="AI21" s="56" t="s">
        <v>343</v>
      </c>
      <c r="AJ21" s="56" t="s">
        <v>760</v>
      </c>
      <c r="AK21" s="106" t="n">
        <v>44927</v>
      </c>
      <c r="AL21" s="106" t="n">
        <v>45291</v>
      </c>
      <c r="AM21" s="106"/>
      <c r="AN21" s="106"/>
      <c r="AO21" s="107"/>
      <c r="AP21" s="107"/>
      <c r="AQ21" s="79" t="s">
        <v>761</v>
      </c>
      <c r="AR21" s="79" t="s">
        <v>446</v>
      </c>
      <c r="AS21" s="79" t="s">
        <v>343</v>
      </c>
      <c r="AT21" s="79"/>
      <c r="AU21" s="79"/>
      <c r="AV21" s="79"/>
      <c r="AW21" s="79"/>
      <c r="AX21" s="79"/>
      <c r="AY21" s="79"/>
      <c r="AZ21" s="79"/>
      <c r="BA21" s="63"/>
      <c r="BB21" s="108" t="s">
        <v>762</v>
      </c>
      <c r="BC21" s="108" t="s">
        <v>763</v>
      </c>
      <c r="BD21" s="51" t="n">
        <f aca="false">SUM(N21:Q21)</f>
        <v>5</v>
      </c>
      <c r="BE21" s="59" t="n">
        <f aca="false">IF(AI21="",1,IF(S21&lt;&gt;0,(O21*0.5+R21)/S21,1))</f>
        <v>0.25</v>
      </c>
      <c r="BF21" s="81" t="n">
        <f aca="false">IF(AH21="","",IF(AH21="Venture",W21,IF(OR(AH21="Chg Goal",AH21="RUn Goal"),V21,IF(OR(AH21="ROutine",AH21="Project"),V21,IF(OR(AH21="Sub",AH21="Stream"),U21,IF(OR(AH21="Drill",AH21="Action"),T21,0))))))</f>
        <v>9</v>
      </c>
      <c r="BG21" s="81" t="n">
        <f aca="false">IF(AH21="","",IF(AH21="Venture",AA21,IF(OR(AH21="Chg Goal",AH21="RUn Goal"),Z21,IF(OR(AH21="ROutine",AH21="Project"),Z21,IF(OR(AH21="Sub",AH21="Stream"),Y21,IF(OR(AH21="Drill",AH21="Action"),X21,0))))))</f>
        <v>7</v>
      </c>
      <c r="BH21" s="109" t="n">
        <f aca="false">IF(AI21="","",IF(OR(BF21=0, BF21=""),0,BG21/BF21))</f>
        <v>0.777777777777778</v>
      </c>
      <c r="BI21" s="110" t="str">
        <f aca="false">IF(    OR(   AND($C21=10000000,    BI$19&gt;=$A$17,      BI$19 &lt;($A$17+$DH$17)   ),   AND($C21&lt;&gt;10000000,  BI$19&gt;=$DW21,    BI$19&lt;=($DX21+$DH$17)  ))   ,$DV21,  "")</f>
        <v/>
      </c>
      <c r="BJ21" s="111" t="str">
        <f aca="false">IF(    OR(   AND($C21=10000000,    $A$17&lt;=BJ$19,      ($A$17+$DH$17)&gt;BJ$19    ),   AND($C21&lt;&gt;10000000,  BJ$19&gt;=$DW21,    BJ$19&lt;=($DX21+$DH$17)  ))   ,$DV21,  "")</f>
        <v/>
      </c>
      <c r="BK21" s="111" t="str">
        <f aca="false">IF(    OR(   AND($C21=10000000,    $A$17&lt;=BK$19,      ($A$17+$DH$17)&gt;BK$19    ),   AND($C21&lt;&gt;10000000,  BK$19&gt;=$DW21,    BK$19&lt;=($DX21+$DH$17)  ))   ,$DV21,  "")</f>
        <v/>
      </c>
      <c r="BL21" s="111" t="str">
        <f aca="false">IF(    OR(   AND($C21=10000000,    $A$17&lt;=BL$19,      ($A$17+$DH$17)&gt;BL$19    ),   AND($C21&lt;&gt;10000000,  BL$19&gt;=$DW21,    BL$19&lt;=($DX21+$DH$17)  ))   ,$DV21,  "")</f>
        <v/>
      </c>
      <c r="BM21" s="111" t="str">
        <f aca="false">IF(    OR(   AND($C21=10000000,    $A$17&lt;=BM$19,      ($A$17+$DH$17)&gt;BM$19    ),   AND($C21&lt;&gt;10000000,  BM$19&gt;=$DW21,    BM$19&lt;=($DX21+$DH$17)  ))   ,$DV21,  "")</f>
        <v/>
      </c>
      <c r="BN21" s="111" t="str">
        <f aca="false">IF(    OR(   AND($C21=10000000,    $A$17&lt;=BN$19,      ($A$17+$DH$17)&gt;BN$19    ),   AND($C21&lt;&gt;10000000,  BN$19&gt;=$DW21,    BN$19&lt;=($DX21+$DH$17)  ))   ,$DV21,  "")</f>
        <v/>
      </c>
      <c r="BO21" s="111" t="str">
        <f aca="false">IF(    OR(   AND($C21=10000000,    $A$17&lt;=BO$19,      ($A$17+$DH$17)&gt;BO$19    ),   AND($C21&lt;&gt;10000000,  BO$19&gt;=$DW21,    BO$19&lt;=($DX21+$DH$17)  ))   ,$DV21,  "")</f>
        <v/>
      </c>
      <c r="BP21" s="111" t="str">
        <f aca="false">IF(    OR(   AND($C21=10000000,    $A$17&lt;=BP$19,      ($A$17+$DH$17)&gt;BP$19    ),   AND($C21&lt;&gt;10000000,  BP$19&gt;=$DW21,    BP$19&lt;=($DX21+$DH$17)  ))   ,$DV21,  "")</f>
        <v/>
      </c>
      <c r="BQ21" s="111" t="str">
        <f aca="false">IF(    OR(   AND($C21=10000000,    $A$17&lt;=BQ$19,      ($A$17+$DH$17)&gt;BQ$19    ),   AND($C21&lt;&gt;10000000,  BQ$19&gt;=$DW21,    BQ$19&lt;=($DX21+$DH$17)  ))   ,$DV21,  "")</f>
        <v/>
      </c>
      <c r="BR21" s="111" t="str">
        <f aca="false">IF(    OR(   AND($C21=10000000,    $A$17&lt;=BR$19,      ($A$17+$DH$17)&gt;BR$19    ),   AND($C21&lt;&gt;10000000,  BR$19&gt;=$DW21,    BR$19&lt;=($DX21+$DH$17)  ))   ,$DV21,  "")</f>
        <v/>
      </c>
      <c r="BS21" s="111" t="str">
        <f aca="false">IF(    OR(   AND($C21=10000000,    $A$17&lt;=BS$19,      ($A$17+$DH$17)&gt;BS$19    ),   AND($C21&lt;&gt;10000000,  BS$19&gt;=$DW21,    BS$19&lt;=($DX21+$DH$17)  ))   ,$DV21,  "")</f>
        <v/>
      </c>
      <c r="BT21" s="111" t="str">
        <f aca="false">IF(    OR(   AND($C21=10000000,    $A$17&lt;=BT$19,      ($A$17+$DH$17)&gt;BT$19    ),   AND($C21&lt;&gt;10000000,  BT$19&gt;=$DW21,    BT$19&lt;=($DX21+$DH$17)  ))   ,$DV21,  "")</f>
        <v/>
      </c>
      <c r="BU21" s="111" t="str">
        <f aca="false">IF(    OR(   AND($C21=10000000,    $A$17&lt;=BU$19,      ($A$17+$DH$17)&gt;BU$19    ),   AND($C21&lt;&gt;10000000,  BU$19&gt;=$DW21,    BU$19&lt;=($DX21+$DH$17)  ))   ,$DV21,  "")</f>
        <v/>
      </c>
      <c r="BV21" s="111" t="str">
        <f aca="false">IF(    OR(   AND($C21=10000000,    $A$17&lt;=BV$19,      ($A$17+$DH$17)&gt;BV$19    ),   AND($C21&lt;&gt;10000000,  BV$19&gt;=$DW21,    BV$19&lt;=($DX21+$DH$17)  ))   ,$DV21,  "")</f>
        <v/>
      </c>
      <c r="BW21" s="111" t="str">
        <f aca="false">IF(    OR(   AND($C21=10000000,    $A$17&lt;=BW$19,      ($A$17+$DH$17)&gt;BW$19    ),   AND($C21&lt;&gt;10000000,  BW$19&gt;=$DW21,    BW$19&lt;=($DX21+$DH$17)  ))   ,$DV21,  "")</f>
        <v/>
      </c>
      <c r="BX21" s="111" t="str">
        <f aca="false">IF(    OR(   AND($C21=10000000,    $A$17&lt;=BX$19,      ($A$17+$DH$17)&gt;BX$19    ),   AND($C21&lt;&gt;10000000,  BX$19&gt;=$DW21,    BX$19&lt;=($DX21+$DH$17)  ))   ,$DV21,  "")</f>
        <v/>
      </c>
      <c r="BY21" s="111" t="str">
        <f aca="false">IF(    OR(   AND($C21=10000000,    $A$17&lt;=BY$19,      ($A$17+$DH$17)&gt;BY$19    ),   AND($C21&lt;&gt;10000000,  BY$19&gt;=$DW21,    BY$19&lt;=($DX21+$DH$17)  ))   ,$DV21,  "")</f>
        <v/>
      </c>
      <c r="BZ21" s="111" t="str">
        <f aca="false">IF(    OR(   AND($C21=10000000,    $A$17&lt;=BZ$19,      ($A$17+$DH$17)&gt;BZ$19    ),   AND($C21&lt;&gt;10000000,  BZ$19&gt;=$DW21,    BZ$19&lt;=($DX21+$DH$17)  ))   ,$DV21,  "")</f>
        <v/>
      </c>
      <c r="CA21" s="111" t="str">
        <f aca="false">IF(    OR(   AND($C21=10000000,    $A$17&lt;=CA$19,      ($A$17+$DH$17)&gt;CA$19    ),   AND($C21&lt;&gt;10000000,  CA$19&gt;=$DW21,    CA$19&lt;=($DX21+$DH$17)  ))   ,$DV21,  "")</f>
        <v/>
      </c>
      <c r="CB21" s="111" t="str">
        <f aca="false">IF(    OR(   AND($C21=10000000,    $A$17&lt;=CB$19,      ($A$17+$DH$17)&gt;CB$19    ),   AND($C21&lt;&gt;10000000,  CB$19&gt;=$DW21,    CB$19&lt;=($DX21+$DH$17)  ))   ,$DV21,  "")</f>
        <v/>
      </c>
      <c r="CC21" s="111" t="str">
        <f aca="false">IF(    OR(   AND($C21=10000000,    $A$17&lt;=CC$19,      ($A$17+$DH$17)&gt;CC$19    ),   AND($C21&lt;&gt;10000000,  CC$19&gt;=$DW21,    CC$19&lt;=($DX21+$DH$17)  ))   ,$DV21,  "")</f>
        <v/>
      </c>
      <c r="CD21" s="111" t="str">
        <f aca="false">IF(    OR(   AND($C21=10000000,    $A$17&lt;=CD$19,      ($A$17+$DH$17)&gt;CD$19    ),   AND($C21&lt;&gt;10000000,  CD$19&gt;=$DW21,    CD$19&lt;=($DX21+$DH$17)  ))   ,$DV21,  "")</f>
        <v/>
      </c>
      <c r="CE21" s="111" t="str">
        <f aca="false">IF(    OR(   AND($C21=10000000,    $A$17&lt;=CE$19,      ($A$17+$DH$17)&gt;CE$19    ),   AND($C21&lt;&gt;10000000,  CE$19&gt;=$DW21,    CE$19&lt;=($DX21+$DH$17)  ))   ,$DV21,  "")</f>
        <v/>
      </c>
      <c r="CF21" s="111" t="str">
        <f aca="false">IF(    OR(   AND($C21=10000000,    $A$17&lt;=CF$19,      ($A$17+$DH$17)&gt;CF$19    ),   AND($C21&lt;&gt;10000000,  CF$19&gt;=$DW21,    CF$19&lt;=($DX21+$DH$17)  ))   ,$DV21,  "")</f>
        <v/>
      </c>
      <c r="CG21" s="111" t="str">
        <f aca="false">IF(    OR(   AND($C21=10000000,    $A$17&lt;=CG$19,      ($A$17+$DH$17)&gt;CG$19    ),   AND($C21&lt;&gt;10000000,  CG$19&gt;=$DW21,    CG$19&lt;=($DX21+$DH$17)  ))   ,$DV21,  "")</f>
        <v/>
      </c>
      <c r="CH21" s="111" t="str">
        <f aca="false">IF(    OR(   AND($C21=10000000,    $A$17&lt;=CH$19,      ($A$17+$DH$17)&gt;CH$19    ),   AND($C21&lt;&gt;10000000,  CH$19&gt;=$DW21,    CH$19&lt;=($DX21+$DH$17)  ))   ,$DV21,  "")</f>
        <v/>
      </c>
      <c r="CI21" s="111" t="str">
        <f aca="false">IF(    OR(   AND($C21=10000000,    $A$17&lt;=CI$19,      ($A$17+$DH$17)&gt;CI$19    ),   AND($C21&lt;&gt;10000000,  CI$19&gt;=$DW21,    CI$19&lt;=($DX21+$DH$17)  ))   ,$DV21,  "")</f>
        <v/>
      </c>
      <c r="CJ21" s="111" t="str">
        <f aca="false">IF(    OR(   AND($C21=10000000,    $A$17&lt;=CJ$19,      ($A$17+$DH$17)&gt;CJ$19    ),   AND($C21&lt;&gt;10000000,  CJ$19&gt;=$DW21,    CJ$19&lt;=($DX21+$DH$17)  ))   ,$DV21,  "")</f>
        <v/>
      </c>
      <c r="CK21" s="111" t="str">
        <f aca="false">IF(    OR(   AND($C21=10000000,    $A$17&lt;=CK$19,      ($A$17+$DH$17)&gt;CK$19    ),   AND($C21&lt;&gt;10000000,  CK$19&gt;=$DW21,    CK$19&lt;=($DX21+$DH$17)  ))   ,$DV21,  "")</f>
        <v/>
      </c>
      <c r="CL21" s="111" t="str">
        <f aca="false">IF(    OR(   AND($C21=10000000,    $A$17&lt;=CL$19,      ($A$17+$DH$17)&gt;CL$19    ),   AND($C21&lt;&gt;10000000,  CL$19&gt;=$DW21,    CL$19&lt;=($DX21+$DH$17)  ))   ,$DV21,  "")</f>
        <v>Red</v>
      </c>
      <c r="CM21" s="111" t="str">
        <f aca="false">IF(    OR(   AND($C21=10000000,    $A$17&lt;=CM$19,      ($A$17+$DH$17)&gt;CM$19    ),   AND($C21&lt;&gt;10000000,  CM$19&gt;=$DW21,    CM$19&lt;=($DX21+$DH$17)  ))   ,$DV21,  "")</f>
        <v/>
      </c>
      <c r="CN21" s="111" t="str">
        <f aca="false">IF(    OR(   AND($C21=10000000,    $A$17&lt;=CN$19,      ($A$17+$DH$17)&gt;CN$19    ),   AND($C21&lt;&gt;10000000,  CN$19&gt;=$DW21,    CN$19&lt;=($DX21+$DH$17)  ))   ,$DV21,  "")</f>
        <v/>
      </c>
      <c r="CO21" s="111" t="str">
        <f aca="false">IF(    OR(   AND($C21=10000000,    $A$17&lt;=CO$19,      ($A$17+$DH$17)&gt;CO$19    ),   AND($C21&lt;&gt;10000000,  CO$19&gt;=$DW21,    CO$19&lt;=($DX21+$DH$17)  ))   ,$DV21,  "")</f>
        <v/>
      </c>
      <c r="CP21" s="111" t="str">
        <f aca="false">IF(    OR(   AND($C21=10000000,    $A$17&lt;=CP$19,      ($A$17+$DH$17)&gt;CP$19    ),   AND($C21&lt;&gt;10000000,  CP$19&gt;=$DW21,    CP$19&lt;=($DX21+$DH$17)  ))   ,$DV21,  "")</f>
        <v/>
      </c>
      <c r="CQ21" s="111" t="str">
        <f aca="false">IF(    OR(   AND($C21=10000000,    $A$17&lt;=CQ$19,      ($A$17+$DH$17)&gt;CQ$19    ),   AND($C21&lt;&gt;10000000,  CQ$19&gt;=$DW21,    CQ$19&lt;=($DX21+$DH$17)  ))   ,$DV21,  "")</f>
        <v/>
      </c>
      <c r="CR21" s="111" t="str">
        <f aca="false">IF(    OR(   AND($C21=10000000,    $A$17&lt;=CR$19,      ($A$17+$DH$17)&gt;CR$19    ),   AND($C21&lt;&gt;10000000,  CR$19&gt;=$DW21,    CR$19&lt;=($DX21+$DH$17)  ))   ,$DV21,  "")</f>
        <v/>
      </c>
      <c r="CS21" s="111" t="str">
        <f aca="false">IF(    OR(   AND($C21=10000000,    $A$17&lt;=CS$19,      ($A$17+$DH$17)&gt;CS$19    ),   AND($C21&lt;&gt;10000000,  CS$19&gt;=$DW21,    CS$19&lt;=($DX21+$DH$17)  ))   ,$DV21,  "")</f>
        <v/>
      </c>
      <c r="CT21" s="111" t="str">
        <f aca="false">IF(    OR(   AND($C21=10000000,    $A$17&lt;=CT$19,      ($A$17+$DH$17)&gt;CT$19    ),   AND($C21&lt;&gt;10000000,  CT$19&gt;=$DW21,    CT$19&lt;=($DX21+$DH$17)  ))   ,$DV21,  "")</f>
        <v/>
      </c>
      <c r="CU21" s="111" t="str">
        <f aca="false">IF(    OR(   AND($C21=10000000,    $A$17&lt;=CU$19,      ($A$17+$DH$17)&gt;CU$19    ),   AND($C21&lt;&gt;10000000,  CU$19&gt;=$DW21,    CU$19&lt;=($DX21+$DH$17)  ))   ,$DV21,  "")</f>
        <v/>
      </c>
      <c r="CV21" s="111" t="str">
        <f aca="false">IF(    OR(   AND($C21=10000000,    $A$17&lt;=CV$19,      ($A$17+$DH$17)&gt;CV$19    ),   AND($C21&lt;&gt;10000000,  CV$19&gt;=$DW21,    CV$19&lt;=($DX21+$DH$17)  ))   ,$DV21,  "")</f>
        <v/>
      </c>
      <c r="CW21" s="111" t="str">
        <f aca="false">IF(    OR(   AND($C21=10000000,    $A$17&lt;=CW$19,      ($A$17+$DH$17)&gt;CW$19    ),   AND($C21&lt;&gt;10000000,  CW$19&gt;=$DW21,    CW$19&lt;=($DX21+$DH$17)  ))   ,$DV21,  "")</f>
        <v/>
      </c>
      <c r="CX21" s="111" t="str">
        <f aca="false">IF(    OR(   AND($C21=10000000,    $A$17&lt;=CX$19,      ($A$17+$DH$17)&gt;CX$19    ),   AND($C21&lt;&gt;10000000,  CX$19&gt;=$DW21,    CX$19&lt;=($DX21+$DH$17)  ))   ,$DV21,  "")</f>
        <v/>
      </c>
      <c r="CY21" s="111" t="str">
        <f aca="false">IF(    OR(   AND($C21=10000000,    $A$17&lt;=CY$19,      ($A$17+$DH$17)&gt;CY$19    ),   AND($C21&lt;&gt;10000000,  CY$19&gt;=$DW21,    CY$19&lt;=($DX21+$DH$17)  ))   ,$DV21,  "")</f>
        <v/>
      </c>
      <c r="CZ21" s="111" t="str">
        <f aca="false">IF(    OR(   AND($C21=10000000,    $A$17&lt;=CZ$19,      ($A$17+$DH$17)&gt;CZ$19    ),   AND($C21&lt;&gt;10000000,  CZ$19&gt;=$DW21,    CZ$19&lt;=($DX21+$DH$17)  ))   ,$DV21,  "")</f>
        <v/>
      </c>
      <c r="DA21" s="111" t="str">
        <f aca="false">IF(    OR(   AND($C21=10000000,    $A$17&lt;=DA$19,      ($A$17+$DH$17)&gt;DA$19    ),   AND($C21&lt;&gt;10000000,  DA$19&gt;=$DW21,    DA$19&lt;=($DX21+$DH$17)  ))   ,$DV21,  "")</f>
        <v/>
      </c>
      <c r="DB21" s="111" t="str">
        <f aca="false">IF(    OR(   AND($C21=10000000,    $A$17&lt;=DB$19,      ($A$17+$DH$17)&gt;DB$19    ),   AND($C21&lt;&gt;10000000,  DB$19&gt;=$DW21,    DB$19&lt;=($DX21+$DH$17)  ))   ,$DV21,  "")</f>
        <v/>
      </c>
      <c r="DC21" s="111" t="str">
        <f aca="false">IF(    OR(   AND($C21=10000000,    $A$17&lt;=DC$19,      ($A$17+$DH$17)&gt;DC$19    ),   AND($C21&lt;&gt;10000000,  DC$19&gt;=$DW21,    DC$19&lt;=($DX21+$DH$17)  ))   ,$DV21,  "")</f>
        <v/>
      </c>
      <c r="DD21" s="111" t="str">
        <f aca="false">IF(    OR(   AND($C21=10000000,    $A$17&lt;=DD$19,      ($A$17+$DH$17)&gt;DD$19    ),   AND($C21&lt;&gt;10000000,  DD$19&gt;=$DW21,    DD$19&lt;=($DX21+$DH$17)  ))   ,$DV21,  "")</f>
        <v/>
      </c>
      <c r="DE21" s="111" t="str">
        <f aca="false">IF(    OR(   AND($C21=10000000,    $A$17&lt;=DE$19,      ($A$17+$DH$17)&gt;DE$19    ),   AND($C21&lt;&gt;10000000,  DE$19&gt;=$DW21,    DE$19&lt;=($DX21+$DH$17)  ))   ,$DV21,  "")</f>
        <v/>
      </c>
      <c r="DF21" s="111" t="str">
        <f aca="false">IF(    OR(   AND($C21=10000000,    $A$17&lt;=DF$19,      ($A$17+$DH$17)&gt;DF$19    ),   AND($C21&lt;&gt;10000000,  DF$19&gt;=$DW21,    DF$19&lt;=($DX21+$DH$17)  ))   ,$DV21,  "")</f>
        <v/>
      </c>
      <c r="DG21" s="111" t="str">
        <f aca="false">IF(    OR(   AND($C21=10000000,    $A$17&lt;=DG$19,      ($A$17+$DH$17)&gt;DG$19    ),   AND($C21&lt;&gt;10000000,  DG$19&gt;=$DW21,    DG$19&lt;=($DX21+$DH$17)  ))   ,$DV21,  "")</f>
        <v/>
      </c>
      <c r="DH21" s="111" t="str">
        <f aca="false">IF(    OR(   AND($C21=10000000,    $A$17&lt;=DH$19,      ($A$17+$DH$17)&gt;DH$19    ),   AND($C21&lt;&gt;10000000,  DH$19&gt;=$DW21,    DH$19&lt;=($DX21+$DH$17)  ))   ,$DV21,  "")</f>
        <v/>
      </c>
      <c r="DI21" s="112" t="str">
        <f aca="false">IF(BB21="","",IF(ISERROR(FIND(CHAR(10),BB21,1)),BB21,LEFT(BB21,FIND(CHAR(10),BB21,1))))</f>
        <v>01-01-22: init</v>
      </c>
      <c r="DJ21" s="53" t="str">
        <f aca="false">IF(BB21="","",IFERROR(RIGHT(BB21,LEN(BB21)-FIND("@@@",SUBSTITUTE(BB21,CHAR(10),"@@@",LEN(BB21)-LEN(SUBSTITUTE(BB21,CHAR(10),""))),1)),BB21))</f>
        <v>01-01-22: init</v>
      </c>
      <c r="DK21" s="53" t="str">
        <f aca="false">IF(BC21="","",IFERROR(RIGHT(BC21,LEN(BC21)-FIND("@@@",SUBSTITUTE(BC21,CHAR(10),"@@@",LEN(BC21)-LEN(SUBSTITUTE(BC21,CHAR(10),""))),1)),BC21))</f>
        <v>. Task</v>
      </c>
      <c r="DL21" s="113" t="n">
        <f aca="false">IFERROR(DATE(("20"&amp;MID(DI21,7,2))*1,MID(DI21,4,2)*1,MID(DI21,1,2)*1),"none")</f>
        <v>44562</v>
      </c>
      <c r="DM21" s="113" t="n">
        <f aca="false">IFERROR(DATE(("20"&amp;MID(DJ21,7,2))*1,MID(DJ21,4,2)*1,MID(DJ21,1,2)*1),"none")</f>
        <v>44562</v>
      </c>
      <c r="DN21" s="113" t="n">
        <f aca="false">IF(DL21&lt;&gt;"none",DL21,DATE(1900,1,1))</f>
        <v>44562</v>
      </c>
      <c r="DO21" s="113" t="n">
        <f aca="false">IF(DM21&lt;&gt;"none",DM21,DN21)</f>
        <v>44562</v>
      </c>
      <c r="DP21" s="114" t="n">
        <f aca="false">_xlfn.DAYS($A$17,DN21)</f>
        <v>772</v>
      </c>
      <c r="DQ21" s="114" t="n">
        <f aca="false">_xlfn.DAYS($A$17, DO21)</f>
        <v>772</v>
      </c>
      <c r="DR21" s="51" t="n">
        <f aca="false">IF(DO21&lt;&gt;"",INT(DQ21/7),0)</f>
        <v>110</v>
      </c>
      <c r="DS21" s="114" t="n">
        <f aca="false">IF(M21="Overdue",_xlfn.DAYS($A$17,AL21),0)</f>
        <v>0</v>
      </c>
      <c r="DT21" s="114" t="n">
        <f aca="false">IF(AH21="Project",_xlfn.DAYS(AL21,$A$17),0)</f>
        <v>0</v>
      </c>
      <c r="DU21" s="51" t="str">
        <f aca="false">IFERROR(INDEX(Static!$D$5:$E$11,MATCH(AH21,Static!$D$5:$D$11,0),2),"")</f>
        <v>Run</v>
      </c>
      <c r="DV21" s="51" t="str">
        <f aca="false">IF(C21=10000000,"Red",IF(OR(C21=11000000,C21=12000000),"Black",IF(C21=11100000,"Dark",IF(AND(C21=12100000,M21="Completed"),"Green",IF(AND(C21=12100000,M21="Overdue"),"Red",IF(C21=12100000,"Dark",IF(AND(C21=12110000,M21="Overdue"),"LightRed",IF(AND(C21=12110000,M21="Completed"),"LightGreen",IF(OR(C21=11110000,C21=12110000),"Light",IF(AND(C21=12111000,M21="Overdue"),"SoftRed",IF(AND(C21=12111000,M21="Completed"),"SoftGreen",IF(OR(C21=11111000,C21=12111000),"Grey",""))))))))))))</f>
        <v>Red</v>
      </c>
      <c r="DW21" s="49" t="n">
        <f aca="false">IF(AK21&lt;&gt;"",AK21,$BI$19)</f>
        <v>44927</v>
      </c>
      <c r="DX21" s="49" t="n">
        <f aca="false">IF(AL21&lt;&gt;"",AL21,$DH$19)</f>
        <v>45291</v>
      </c>
      <c r="DY21" s="79" t="s">
        <v>450</v>
      </c>
    </row>
    <row r="22" customFormat="false" ht="14.15" hidden="false" customHeight="true" outlineLevel="0" collapsed="false">
      <c r="A22" s="63"/>
      <c r="B22" s="53" t="str">
        <f aca="false">AH22</f>
        <v>Project</v>
      </c>
      <c r="C22" s="51" t="n">
        <f aca="false">IFERROR(INDEX(Static!$D$5:$F$11,MATCH(AH22,Static!$D$5:$D$11,0),3),90000000)</f>
        <v>12100000</v>
      </c>
      <c r="D22" s="51" t="str">
        <f aca="false">MID(C22,2,1)</f>
        <v>2</v>
      </c>
      <c r="E22" s="53" t="str">
        <f aca="false">AB22</f>
        <v>ProjectSome Study Project for sub-cat 1STE</v>
      </c>
      <c r="F22" s="51" t="n">
        <f aca="false">IF(B22="Venture",0,IF(OR(B22="Project",B22="Stream",B22="Action"),AK22,""))</f>
        <v>45020</v>
      </c>
      <c r="G22" s="51" t="str">
        <f aca="false">AS22</f>
        <v>VNT</v>
      </c>
      <c r="H22" s="51" t="n">
        <f aca="false">IF(B22="Venture",0,IFERROR(INDEX($E$20:$F$55,MATCH(G22,$E$20:$E$55,0),2),""))</f>
        <v>0</v>
      </c>
      <c r="I22" s="51" t="str">
        <f aca="false">IF(B22="Venture",0,IFERROR(INDEX($E$20:$G$55,MATCH(G22,$E$20:$E$55,0),3),""))</f>
        <v>VNT</v>
      </c>
      <c r="J22" s="51" t="n">
        <f aca="false">IF(B22="Venture",0,IFERROR(INDEX($E$20:$H$55,MATCH(G22,$E$20:$E$55,0),4),""))</f>
        <v>0</v>
      </c>
      <c r="K22" s="51" t="str">
        <f aca="false">IF(B22="Venture",0,IFERROR(INDEX($E$20:$G$55,MATCH(I22,$E$20:$E$55,0),3),""))</f>
        <v>VNT</v>
      </c>
      <c r="L22" s="51" t="str">
        <f aca="false">IF(M22="Completed","Completed","Ongoing")</f>
        <v>Ongoing</v>
      </c>
      <c r="M22" s="51" t="str">
        <f aca="false">IF(OR(AH22="Venture",AH22="Routine",AH22="Run Goal", AH22="Chg Goal", AH22=""),AH22,IF(AN22&lt;&gt;"","Completed",IF(AM22&lt;&gt;"","Pending",IF(AND(AL22&lt;&gt;"",$A$17&gt;AL22),"Overdue",IF($A$17&gt;AK22,"Started","Open")))))</f>
        <v>Overdue</v>
      </c>
      <c r="N22" s="50" t="n">
        <f aca="false">((LEN($BC22)-LEN(SUBSTITUTE($BC22,CHAR(10)&amp;". ","")))/3)+IF(LEFT(TRIM($BC22),2)=". ",1,0)</f>
        <v>0</v>
      </c>
      <c r="O22" s="50" t="n">
        <f aca="false">((LEN($BC22)-LEN(SUBSTITUTE($BC22,CHAR(10)&amp;"/ ","")))/3)+IF(LEFT(TRIM($BC22),2)="/ ",1,0)</f>
        <v>0</v>
      </c>
      <c r="P22" s="50" t="n">
        <f aca="false">((LEN($BC22)-LEN(SUBSTITUTE($BC22,CHAR(10)&amp;"~ ","")))/3)+IF(LEFT(TRIM($BC22),2)="~ ",1,0)</f>
        <v>0</v>
      </c>
      <c r="Q22" s="50" t="n">
        <f aca="false">((LEN($BC22)-LEN(SUBSTITUTE($BC22,CHAR(10)&amp;"! ","")))/3)+IF(LEFT(TRIM($BC22),2)="! ",1,0)</f>
        <v>0</v>
      </c>
      <c r="R22" s="50" t="n">
        <f aca="false">((LEN($BC22)-LEN(SUBSTITUTE($BC22,CHAR(10)&amp;"x ","")))/3)+IF(LEFT(TRIM($BC22),2)="x ",1,0)</f>
        <v>0</v>
      </c>
      <c r="S22" s="50" t="n">
        <f aca="false">SUM(N22:R22)</f>
        <v>0</v>
      </c>
      <c r="T22" s="51" t="n">
        <f aca="false">IF(OR($B22="Drill",$B22="Action"),$AO22,0)</f>
        <v>0</v>
      </c>
      <c r="U22" s="51" t="n">
        <f aca="false">IF(OR($B22="Sub",$B22="Stream"),$AO22+SUMIFS($AO$20:$AO$55,$G$20:$G$55,$E22),0)</f>
        <v>0</v>
      </c>
      <c r="V22" s="51" t="n">
        <f aca="false">IF(OR($B22="Routine",$B22="Project"),$AO22+SUMIFS($U$20:$U$55,$G$20:$G$55,$E22),0)</f>
        <v>6</v>
      </c>
      <c r="W22" s="51" t="n">
        <f aca="false">IF($B22="Venture",$AO22+SUMIFS($V$20:$V$55,$G$20:$G$55,$E22),0)</f>
        <v>0</v>
      </c>
      <c r="X22" s="51" t="n">
        <f aca="false">IF(OR($B22="Drill",$B22="Action"),$AP22,0)</f>
        <v>0</v>
      </c>
      <c r="Y22" s="51" t="n">
        <f aca="false">IF(OR($B22="Sub",$B22="Stream"),$AP22+SUMIFS($AP$20:$AP$55,$G$20:$G$55,$E22),0)</f>
        <v>0</v>
      </c>
      <c r="Z22" s="51" t="n">
        <f aca="false">IF(OR($B22="Routine",$B22="Project"),$AP22+SUMIFS($Y$20:$Y$55,$G$20:$G$55,$E22),0)</f>
        <v>4.5</v>
      </c>
      <c r="AA22" s="51" t="n">
        <f aca="false">IF($B22="Venture",$AP22+SUMIFS($Z$20:$Z$55,$G$20:$G$55,$E22),0)</f>
        <v>0</v>
      </c>
      <c r="AB22" s="51" t="str">
        <f aca="false">IF(OR(AH22="Venture", AH22="Run Goal", AH22="Chg Goal"),AI22,AH22&amp;AI22&amp;AR22)</f>
        <v>ProjectSome Study Project for sub-cat 1STE</v>
      </c>
      <c r="AC22" s="53" t="str">
        <f aca="false">"  -  "&amp;IF(C22=90000000,9&amp;"Z",D22&amp;AE22&amp;IF(OR(B22="Run Goal",B22="Chg Goal", B22="Venture"),"",IF(OR(B22="Routine",B22="Project"),F22&amp;E22,  IF(OR(B22="Sub",B22="Stream"),H22&amp;G22&amp;F22&amp;E22,IF(OR(B22="Drill",B22="Action"),J22&amp;I22&amp;H22&amp;G22&amp;F22&amp;E22,     "") )    )))</f>
        <v>  -  2N45020ProjectSome Study Project for sub-cat 1STE</v>
      </c>
      <c r="AD22" s="51" t="str">
        <f aca="false">IF(AND(AM22="",AN22=""),"Y","N")</f>
        <v>Y</v>
      </c>
      <c r="AE22" s="103" t="str">
        <f aca="false">IF(OR(AF22="Y",AF22="Y"),AF22,IF(DM22="none","N",IF(DM22&gt;($A$17-WEEKDAY($A$17,2)-(7*$AE$18)),"Y","N")))</f>
        <v>N</v>
      </c>
      <c r="AF22" s="104"/>
      <c r="AG22" s="105"/>
      <c r="AH22" s="79" t="s">
        <v>764</v>
      </c>
      <c r="AI22" s="56" t="s">
        <v>765</v>
      </c>
      <c r="AJ22" s="56" t="s">
        <v>766</v>
      </c>
      <c r="AK22" s="106" t="n">
        <v>45020</v>
      </c>
      <c r="AL22" s="106" t="n">
        <v>45135</v>
      </c>
      <c r="AM22" s="106"/>
      <c r="AN22" s="106"/>
      <c r="AO22" s="107" t="n">
        <v>1</v>
      </c>
      <c r="AP22" s="107" t="n">
        <v>0.5</v>
      </c>
      <c r="AQ22" s="79" t="s">
        <v>761</v>
      </c>
      <c r="AR22" s="79" t="s">
        <v>446</v>
      </c>
      <c r="AS22" s="79" t="s">
        <v>343</v>
      </c>
      <c r="AT22" s="79" t="s">
        <v>767</v>
      </c>
      <c r="AU22" s="79" t="s">
        <v>768</v>
      </c>
      <c r="AV22" s="79"/>
      <c r="AW22" s="79"/>
      <c r="AX22" s="79"/>
      <c r="AY22" s="79"/>
      <c r="AZ22" s="79"/>
      <c r="BA22" s="63"/>
      <c r="BB22" s="108" t="s">
        <v>762</v>
      </c>
      <c r="BC22" s="63"/>
      <c r="BD22" s="51" t="n">
        <f aca="false">SUM(N22:Q22)</f>
        <v>0</v>
      </c>
      <c r="BE22" s="59" t="n">
        <f aca="false">IF(AI22="",1,IF(S22&lt;&gt;0,(O22*0.5+R22)/S22,1))</f>
        <v>1</v>
      </c>
      <c r="BF22" s="81" t="n">
        <f aca="false">IF(AH22="","",IF(AH22="Venture",W22,IF(OR(AH22="Chg Goal",AH22="RUn Goal"),V22,IF(OR(AH22="ROutine",AH22="Project"),V22,IF(OR(AH22="Sub",AH22="Stream"),U22,IF(OR(AH22="Drill",AH22="Action"),T22,0))))))</f>
        <v>6</v>
      </c>
      <c r="BG22" s="81" t="n">
        <f aca="false">IF(AH22="","",IF(AH22="Venture",AA22,IF(OR(AH22="Chg Goal",AH22="RUn Goal"),Z22,IF(OR(AH22="ROutine",AH22="Project"),Z22,IF(OR(AH22="Sub",AH22="Stream"),Y22,IF(OR(AH22="Drill",AH22="Action"),X22,0))))))</f>
        <v>4.5</v>
      </c>
      <c r="BH22" s="109" t="n">
        <f aca="false">IF(AI22="","",IF(OR(BF22=0, BF22=""),0,BG22/BF22))</f>
        <v>0.75</v>
      </c>
      <c r="BI22" s="110" t="str">
        <f aca="false">IF(    OR(   AND($C22=10000000,    BI$19&gt;=$A$17,      BI$19 &lt;($A$17+$DH$17)   ),   AND($C22&lt;&gt;10000000,  BI$19&gt;=$DW22,    BI$19&lt;=($DX22+$DH$17)  ))   ,$DV22,  "")</f>
        <v/>
      </c>
      <c r="BJ22" s="111" t="str">
        <f aca="false">IF(    OR(   AND($C22=10000000,    $A$17&lt;=BJ$19,      ($A$17+$DH$17)&gt;BJ$19    ),   AND($C22&lt;&gt;10000000,  BJ$19&gt;=$DW22,    BJ$19&lt;=($DX22+$DH$17)  ))   ,$DV22,  "")</f>
        <v/>
      </c>
      <c r="BK22" s="111" t="str">
        <f aca="false">IF(    OR(   AND($C22=10000000,    $A$17&lt;=BK$19,      ($A$17+$DH$17)&gt;BK$19    ),   AND($C22&lt;&gt;10000000,  BK$19&gt;=$DW22,    BK$19&lt;=($DX22+$DH$17)  ))   ,$DV22,  "")</f>
        <v/>
      </c>
      <c r="BL22" s="111" t="str">
        <f aca="false">IF(    OR(   AND($C22=10000000,    $A$17&lt;=BL$19,      ($A$17+$DH$17)&gt;BL$19    ),   AND($C22&lt;&gt;10000000,  BL$19&gt;=$DW22,    BL$19&lt;=($DX22+$DH$17)  ))   ,$DV22,  "")</f>
        <v/>
      </c>
      <c r="BM22" s="111" t="str">
        <f aca="false">IF(    OR(   AND($C22=10000000,    $A$17&lt;=BM$19,      ($A$17+$DH$17)&gt;BM$19    ),   AND($C22&lt;&gt;10000000,  BM$19&gt;=$DW22,    BM$19&lt;=($DX22+$DH$17)  ))   ,$DV22,  "")</f>
        <v/>
      </c>
      <c r="BN22" s="111" t="str">
        <f aca="false">IF(    OR(   AND($C22=10000000,    $A$17&lt;=BN$19,      ($A$17+$DH$17)&gt;BN$19    ),   AND($C22&lt;&gt;10000000,  BN$19&gt;=$DW22,    BN$19&lt;=($DX22+$DH$17)  ))   ,$DV22,  "")</f>
        <v/>
      </c>
      <c r="BO22" s="111" t="str">
        <f aca="false">IF(    OR(   AND($C22=10000000,    $A$17&lt;=BO$19,      ($A$17+$DH$17)&gt;BO$19    ),   AND($C22&lt;&gt;10000000,  BO$19&gt;=$DW22,    BO$19&lt;=($DX22+$DH$17)  ))   ,$DV22,  "")</f>
        <v/>
      </c>
      <c r="BP22" s="111" t="str">
        <f aca="false">IF(    OR(   AND($C22=10000000,    $A$17&lt;=BP$19,      ($A$17+$DH$17)&gt;BP$19    ),   AND($C22&lt;&gt;10000000,  BP$19&gt;=$DW22,    BP$19&lt;=($DX22+$DH$17)  ))   ,$DV22,  "")</f>
        <v>Red</v>
      </c>
      <c r="BQ22" s="111" t="str">
        <f aca="false">IF(    OR(   AND($C22=10000000,    $A$17&lt;=BQ$19,      ($A$17+$DH$17)&gt;BQ$19    ),   AND($C22&lt;&gt;10000000,  BQ$19&gt;=$DW22,    BQ$19&lt;=($DX22+$DH$17)  ))   ,$DV22,  "")</f>
        <v>Red</v>
      </c>
      <c r="BR22" s="111" t="str">
        <f aca="false">IF(    OR(   AND($C22=10000000,    $A$17&lt;=BR$19,      ($A$17+$DH$17)&gt;BR$19    ),   AND($C22&lt;&gt;10000000,  BR$19&gt;=$DW22,    BR$19&lt;=($DX22+$DH$17)  ))   ,$DV22,  "")</f>
        <v>Red</v>
      </c>
      <c r="BS22" s="111" t="str">
        <f aca="false">IF(    OR(   AND($C22=10000000,    $A$17&lt;=BS$19,      ($A$17+$DH$17)&gt;BS$19    ),   AND($C22&lt;&gt;10000000,  BS$19&gt;=$DW22,    BS$19&lt;=($DX22+$DH$17)  ))   ,$DV22,  "")</f>
        <v>Red</v>
      </c>
      <c r="BT22" s="111" t="str">
        <f aca="false">IF(    OR(   AND($C22=10000000,    $A$17&lt;=BT$19,      ($A$17+$DH$17)&gt;BT$19    ),   AND($C22&lt;&gt;10000000,  BT$19&gt;=$DW22,    BT$19&lt;=($DX22+$DH$17)  ))   ,$DV22,  "")</f>
        <v>Red</v>
      </c>
      <c r="BU22" s="111" t="str">
        <f aca="false">IF(    OR(   AND($C22=10000000,    $A$17&lt;=BU$19,      ($A$17+$DH$17)&gt;BU$19    ),   AND($C22&lt;&gt;10000000,  BU$19&gt;=$DW22,    BU$19&lt;=($DX22+$DH$17)  ))   ,$DV22,  "")</f>
        <v>Red</v>
      </c>
      <c r="BV22" s="111" t="str">
        <f aca="false">IF(    OR(   AND($C22=10000000,    $A$17&lt;=BV$19,      ($A$17+$DH$17)&gt;BV$19    ),   AND($C22&lt;&gt;10000000,  BV$19&gt;=$DW22,    BV$19&lt;=($DX22+$DH$17)  ))   ,$DV22,  "")</f>
        <v>Red</v>
      </c>
      <c r="BW22" s="111" t="str">
        <f aca="false">IF(    OR(   AND($C22=10000000,    $A$17&lt;=BW$19,      ($A$17+$DH$17)&gt;BW$19    ),   AND($C22&lt;&gt;10000000,  BW$19&gt;=$DW22,    BW$19&lt;=($DX22+$DH$17)  ))   ,$DV22,  "")</f>
        <v>Red</v>
      </c>
      <c r="BX22" s="111" t="str">
        <f aca="false">IF(    OR(   AND($C22=10000000,    $A$17&lt;=BX$19,      ($A$17+$DH$17)&gt;BX$19    ),   AND($C22&lt;&gt;10000000,  BX$19&gt;=$DW22,    BX$19&lt;=($DX22+$DH$17)  ))   ,$DV22,  "")</f>
        <v>Red</v>
      </c>
      <c r="BY22" s="111" t="str">
        <f aca="false">IF(    OR(   AND($C22=10000000,    $A$17&lt;=BY$19,      ($A$17+$DH$17)&gt;BY$19    ),   AND($C22&lt;&gt;10000000,  BY$19&gt;=$DW22,    BY$19&lt;=($DX22+$DH$17)  ))   ,$DV22,  "")</f>
        <v/>
      </c>
      <c r="BZ22" s="111" t="str">
        <f aca="false">IF(    OR(   AND($C22=10000000,    $A$17&lt;=BZ$19,      ($A$17+$DH$17)&gt;BZ$19    ),   AND($C22&lt;&gt;10000000,  BZ$19&gt;=$DW22,    BZ$19&lt;=($DX22+$DH$17)  ))   ,$DV22,  "")</f>
        <v/>
      </c>
      <c r="CA22" s="111" t="str">
        <f aca="false">IF(    OR(   AND($C22=10000000,    $A$17&lt;=CA$19,      ($A$17+$DH$17)&gt;CA$19    ),   AND($C22&lt;&gt;10000000,  CA$19&gt;=$DW22,    CA$19&lt;=($DX22+$DH$17)  ))   ,$DV22,  "")</f>
        <v/>
      </c>
      <c r="CB22" s="111" t="str">
        <f aca="false">IF(    OR(   AND($C22=10000000,    $A$17&lt;=CB$19,      ($A$17+$DH$17)&gt;CB$19    ),   AND($C22&lt;&gt;10000000,  CB$19&gt;=$DW22,    CB$19&lt;=($DX22+$DH$17)  ))   ,$DV22,  "")</f>
        <v/>
      </c>
      <c r="CC22" s="111" t="str">
        <f aca="false">IF(    OR(   AND($C22=10000000,    $A$17&lt;=CC$19,      ($A$17+$DH$17)&gt;CC$19    ),   AND($C22&lt;&gt;10000000,  CC$19&gt;=$DW22,    CC$19&lt;=($DX22+$DH$17)  ))   ,$DV22,  "")</f>
        <v/>
      </c>
      <c r="CD22" s="111" t="str">
        <f aca="false">IF(    OR(   AND($C22=10000000,    $A$17&lt;=CD$19,      ($A$17+$DH$17)&gt;CD$19    ),   AND($C22&lt;&gt;10000000,  CD$19&gt;=$DW22,    CD$19&lt;=($DX22+$DH$17)  ))   ,$DV22,  "")</f>
        <v/>
      </c>
      <c r="CE22" s="111" t="str">
        <f aca="false">IF(    OR(   AND($C22=10000000,    $A$17&lt;=CE$19,      ($A$17+$DH$17)&gt;CE$19    ),   AND($C22&lt;&gt;10000000,  CE$19&gt;=$DW22,    CE$19&lt;=($DX22+$DH$17)  ))   ,$DV22,  "")</f>
        <v/>
      </c>
      <c r="CF22" s="111" t="str">
        <f aca="false">IF(    OR(   AND($C22=10000000,    $A$17&lt;=CF$19,      ($A$17+$DH$17)&gt;CF$19    ),   AND($C22&lt;&gt;10000000,  CF$19&gt;=$DW22,    CF$19&lt;=($DX22+$DH$17)  ))   ,$DV22,  "")</f>
        <v/>
      </c>
      <c r="CG22" s="111" t="str">
        <f aca="false">IF(    OR(   AND($C22=10000000,    $A$17&lt;=CG$19,      ($A$17+$DH$17)&gt;CG$19    ),   AND($C22&lt;&gt;10000000,  CG$19&gt;=$DW22,    CG$19&lt;=($DX22+$DH$17)  ))   ,$DV22,  "")</f>
        <v/>
      </c>
      <c r="CH22" s="111" t="str">
        <f aca="false">IF(    OR(   AND($C22=10000000,    $A$17&lt;=CH$19,      ($A$17+$DH$17)&gt;CH$19    ),   AND($C22&lt;&gt;10000000,  CH$19&gt;=$DW22,    CH$19&lt;=($DX22+$DH$17)  ))   ,$DV22,  "")</f>
        <v/>
      </c>
      <c r="CI22" s="111" t="str">
        <f aca="false">IF(    OR(   AND($C22=10000000,    $A$17&lt;=CI$19,      ($A$17+$DH$17)&gt;CI$19    ),   AND($C22&lt;&gt;10000000,  CI$19&gt;=$DW22,    CI$19&lt;=($DX22+$DH$17)  ))   ,$DV22,  "")</f>
        <v/>
      </c>
      <c r="CJ22" s="111" t="str">
        <f aca="false">IF(    OR(   AND($C22=10000000,    $A$17&lt;=CJ$19,      ($A$17+$DH$17)&gt;CJ$19    ),   AND($C22&lt;&gt;10000000,  CJ$19&gt;=$DW22,    CJ$19&lt;=($DX22+$DH$17)  ))   ,$DV22,  "")</f>
        <v/>
      </c>
      <c r="CK22" s="111" t="str">
        <f aca="false">IF(    OR(   AND($C22=10000000,    $A$17&lt;=CK$19,      ($A$17+$DH$17)&gt;CK$19    ),   AND($C22&lt;&gt;10000000,  CK$19&gt;=$DW22,    CK$19&lt;=($DX22+$DH$17)  ))   ,$DV22,  "")</f>
        <v/>
      </c>
      <c r="CL22" s="111" t="str">
        <f aca="false">IF(    OR(   AND($C22=10000000,    $A$17&lt;=CL$19,      ($A$17+$DH$17)&gt;CL$19    ),   AND($C22&lt;&gt;10000000,  CL$19&gt;=$DW22,    CL$19&lt;=($DX22+$DH$17)  ))   ,$DV22,  "")</f>
        <v/>
      </c>
      <c r="CM22" s="111" t="str">
        <f aca="false">IF(    OR(   AND($C22=10000000,    $A$17&lt;=CM$19,      ($A$17+$DH$17)&gt;CM$19    ),   AND($C22&lt;&gt;10000000,  CM$19&gt;=$DW22,    CM$19&lt;=($DX22+$DH$17)  ))   ,$DV22,  "")</f>
        <v/>
      </c>
      <c r="CN22" s="111" t="str">
        <f aca="false">IF(    OR(   AND($C22=10000000,    $A$17&lt;=CN$19,      ($A$17+$DH$17)&gt;CN$19    ),   AND($C22&lt;&gt;10000000,  CN$19&gt;=$DW22,    CN$19&lt;=($DX22+$DH$17)  ))   ,$DV22,  "")</f>
        <v/>
      </c>
      <c r="CO22" s="111" t="str">
        <f aca="false">IF(    OR(   AND($C22=10000000,    $A$17&lt;=CO$19,      ($A$17+$DH$17)&gt;CO$19    ),   AND($C22&lt;&gt;10000000,  CO$19&gt;=$DW22,    CO$19&lt;=($DX22+$DH$17)  ))   ,$DV22,  "")</f>
        <v/>
      </c>
      <c r="CP22" s="111" t="str">
        <f aca="false">IF(    OR(   AND($C22=10000000,    $A$17&lt;=CP$19,      ($A$17+$DH$17)&gt;CP$19    ),   AND($C22&lt;&gt;10000000,  CP$19&gt;=$DW22,    CP$19&lt;=($DX22+$DH$17)  ))   ,$DV22,  "")</f>
        <v/>
      </c>
      <c r="CQ22" s="111" t="str">
        <f aca="false">IF(    OR(   AND($C22=10000000,    $A$17&lt;=CQ$19,      ($A$17+$DH$17)&gt;CQ$19    ),   AND($C22&lt;&gt;10000000,  CQ$19&gt;=$DW22,    CQ$19&lt;=($DX22+$DH$17)  ))   ,$DV22,  "")</f>
        <v/>
      </c>
      <c r="CR22" s="111" t="str">
        <f aca="false">IF(    OR(   AND($C22=10000000,    $A$17&lt;=CR$19,      ($A$17+$DH$17)&gt;CR$19    ),   AND($C22&lt;&gt;10000000,  CR$19&gt;=$DW22,    CR$19&lt;=($DX22+$DH$17)  ))   ,$DV22,  "")</f>
        <v/>
      </c>
      <c r="CS22" s="111" t="str">
        <f aca="false">IF(    OR(   AND($C22=10000000,    $A$17&lt;=CS$19,      ($A$17+$DH$17)&gt;CS$19    ),   AND($C22&lt;&gt;10000000,  CS$19&gt;=$DW22,    CS$19&lt;=($DX22+$DH$17)  ))   ,$DV22,  "")</f>
        <v/>
      </c>
      <c r="CT22" s="111" t="str">
        <f aca="false">IF(    OR(   AND($C22=10000000,    $A$17&lt;=CT$19,      ($A$17+$DH$17)&gt;CT$19    ),   AND($C22&lt;&gt;10000000,  CT$19&gt;=$DW22,    CT$19&lt;=($DX22+$DH$17)  ))   ,$DV22,  "")</f>
        <v/>
      </c>
      <c r="CU22" s="111" t="str">
        <f aca="false">IF(    OR(   AND($C22=10000000,    $A$17&lt;=CU$19,      ($A$17+$DH$17)&gt;CU$19    ),   AND($C22&lt;&gt;10000000,  CU$19&gt;=$DW22,    CU$19&lt;=($DX22+$DH$17)  ))   ,$DV22,  "")</f>
        <v/>
      </c>
      <c r="CV22" s="111" t="str">
        <f aca="false">IF(    OR(   AND($C22=10000000,    $A$17&lt;=CV$19,      ($A$17+$DH$17)&gt;CV$19    ),   AND($C22&lt;&gt;10000000,  CV$19&gt;=$DW22,    CV$19&lt;=($DX22+$DH$17)  ))   ,$DV22,  "")</f>
        <v/>
      </c>
      <c r="CW22" s="111" t="str">
        <f aca="false">IF(    OR(   AND($C22=10000000,    $A$17&lt;=CW$19,      ($A$17+$DH$17)&gt;CW$19    ),   AND($C22&lt;&gt;10000000,  CW$19&gt;=$DW22,    CW$19&lt;=($DX22+$DH$17)  ))   ,$DV22,  "")</f>
        <v/>
      </c>
      <c r="CX22" s="111" t="str">
        <f aca="false">IF(    OR(   AND($C22=10000000,    $A$17&lt;=CX$19,      ($A$17+$DH$17)&gt;CX$19    ),   AND($C22&lt;&gt;10000000,  CX$19&gt;=$DW22,    CX$19&lt;=($DX22+$DH$17)  ))   ,$DV22,  "")</f>
        <v/>
      </c>
      <c r="CY22" s="111" t="str">
        <f aca="false">IF(    OR(   AND($C22=10000000,    $A$17&lt;=CY$19,      ($A$17+$DH$17)&gt;CY$19    ),   AND($C22&lt;&gt;10000000,  CY$19&gt;=$DW22,    CY$19&lt;=($DX22+$DH$17)  ))   ,$DV22,  "")</f>
        <v/>
      </c>
      <c r="CZ22" s="111" t="str">
        <f aca="false">IF(    OR(   AND($C22=10000000,    $A$17&lt;=CZ$19,      ($A$17+$DH$17)&gt;CZ$19    ),   AND($C22&lt;&gt;10000000,  CZ$19&gt;=$DW22,    CZ$19&lt;=($DX22+$DH$17)  ))   ,$DV22,  "")</f>
        <v/>
      </c>
      <c r="DA22" s="111" t="str">
        <f aca="false">IF(    OR(   AND($C22=10000000,    $A$17&lt;=DA$19,      ($A$17+$DH$17)&gt;DA$19    ),   AND($C22&lt;&gt;10000000,  DA$19&gt;=$DW22,    DA$19&lt;=($DX22+$DH$17)  ))   ,$DV22,  "")</f>
        <v/>
      </c>
      <c r="DB22" s="111" t="str">
        <f aca="false">IF(    OR(   AND($C22=10000000,    $A$17&lt;=DB$19,      ($A$17+$DH$17)&gt;DB$19    ),   AND($C22&lt;&gt;10000000,  DB$19&gt;=$DW22,    DB$19&lt;=($DX22+$DH$17)  ))   ,$DV22,  "")</f>
        <v/>
      </c>
      <c r="DC22" s="111" t="str">
        <f aca="false">IF(    OR(   AND($C22=10000000,    $A$17&lt;=DC$19,      ($A$17+$DH$17)&gt;DC$19    ),   AND($C22&lt;&gt;10000000,  DC$19&gt;=$DW22,    DC$19&lt;=($DX22+$DH$17)  ))   ,$DV22,  "")</f>
        <v/>
      </c>
      <c r="DD22" s="111" t="str">
        <f aca="false">IF(    OR(   AND($C22=10000000,    $A$17&lt;=DD$19,      ($A$17+$DH$17)&gt;DD$19    ),   AND($C22&lt;&gt;10000000,  DD$19&gt;=$DW22,    DD$19&lt;=($DX22+$DH$17)  ))   ,$DV22,  "")</f>
        <v/>
      </c>
      <c r="DE22" s="111" t="str">
        <f aca="false">IF(    OR(   AND($C22=10000000,    $A$17&lt;=DE$19,      ($A$17+$DH$17)&gt;DE$19    ),   AND($C22&lt;&gt;10000000,  DE$19&gt;=$DW22,    DE$19&lt;=($DX22+$DH$17)  ))   ,$DV22,  "")</f>
        <v/>
      </c>
      <c r="DF22" s="111" t="str">
        <f aca="false">IF(    OR(   AND($C22=10000000,    $A$17&lt;=DF$19,      ($A$17+$DH$17)&gt;DF$19    ),   AND($C22&lt;&gt;10000000,  DF$19&gt;=$DW22,    DF$19&lt;=($DX22+$DH$17)  ))   ,$DV22,  "")</f>
        <v/>
      </c>
      <c r="DG22" s="111" t="str">
        <f aca="false">IF(    OR(   AND($C22=10000000,    $A$17&lt;=DG$19,      ($A$17+$DH$17)&gt;DG$19    ),   AND($C22&lt;&gt;10000000,  DG$19&gt;=$DW22,    DG$19&lt;=($DX22+$DH$17)  ))   ,$DV22,  "")</f>
        <v/>
      </c>
      <c r="DH22" s="111" t="str">
        <f aca="false">IF(    OR(   AND($C22=10000000,    $A$17&lt;=DH$19,      ($A$17+$DH$17)&gt;DH$19    ),   AND($C22&lt;&gt;10000000,  DH$19&gt;=$DW22,    DH$19&lt;=($DX22+$DH$17)  ))   ,$DV22,  "")</f>
        <v/>
      </c>
      <c r="DI22" s="112" t="str">
        <f aca="false">IF(BB22="","",IF(ISERROR(FIND(CHAR(10),BB22,1)),BB22,LEFT(BB22,FIND(CHAR(10),BB22,1))))</f>
        <v>01-01-22: init</v>
      </c>
      <c r="DJ22" s="53" t="str">
        <f aca="false">IF(BB22="","",IFERROR(RIGHT(BB22,LEN(BB22)-FIND("@@@",SUBSTITUTE(BB22,CHAR(10),"@@@",LEN(BB22)-LEN(SUBSTITUTE(BB22,CHAR(10),""))),1)),BB22))</f>
        <v>01-01-22: init</v>
      </c>
      <c r="DK22" s="53" t="str">
        <f aca="false">IF(BC22="","",IFERROR(RIGHT(BC22,LEN(BC22)-FIND("@@@",SUBSTITUTE(BC22,CHAR(10),"@@@",LEN(BC22)-LEN(SUBSTITUTE(BC22,CHAR(10),""))),1)),BC22))</f>
        <v/>
      </c>
      <c r="DL22" s="113" t="n">
        <f aca="false">IFERROR(DATE(("20"&amp;MID(DI22,7,2))*1,MID(DI22,4,2)*1,MID(DI22,1,2)*1),"none")</f>
        <v>44562</v>
      </c>
      <c r="DM22" s="113" t="n">
        <f aca="false">IFERROR(DATE(("20"&amp;MID(DJ22,7,2))*1,MID(DJ22,4,2)*1,MID(DJ22,1,2)*1),"none")</f>
        <v>44562</v>
      </c>
      <c r="DN22" s="113" t="n">
        <f aca="false">IF(DL22&lt;&gt;"none",DL22,DATE(1900,1,1))</f>
        <v>44562</v>
      </c>
      <c r="DO22" s="113" t="n">
        <f aca="false">IF(DM22&lt;&gt;"none",DM22,DN22)</f>
        <v>44562</v>
      </c>
      <c r="DP22" s="114" t="n">
        <f aca="false">_xlfn.DAYS($A$17,DN22)</f>
        <v>772</v>
      </c>
      <c r="DQ22" s="114" t="n">
        <f aca="false">_xlfn.DAYS($A$17, DO22)</f>
        <v>772</v>
      </c>
      <c r="DR22" s="51" t="n">
        <f aca="false">IF(DO22&lt;&gt;"",INT(DQ22/7),0)</f>
        <v>110</v>
      </c>
      <c r="DS22" s="114" t="n">
        <f aca="false">IF(M22="Overdue",_xlfn.DAYS($A$17,AL22),0)</f>
        <v>199</v>
      </c>
      <c r="DT22" s="114" t="n">
        <f aca="false">IF(AH22="Project",_xlfn.DAYS(AL22,$A$17),0)</f>
        <v>-199</v>
      </c>
      <c r="DU22" s="51" t="str">
        <f aca="false">IFERROR(INDEX(Static!$D$5:$E$11,MATCH(AH22,Static!$D$5:$D$11,0),2),"")</f>
        <v>Chg</v>
      </c>
      <c r="DV22" s="51" t="str">
        <f aca="false">IF(C22=10000000,"Red",IF(OR(C22=11000000,C22=12000000),"Black",IF(C22=11100000,"Dark",IF(AND(C22=12100000,M22="Completed"),"Green",IF(AND(C22=12100000,M22="Overdue"),"Red",IF(C22=12100000,"Dark",IF(AND(C22=12110000,M22="Overdue"),"LightRed",IF(AND(C22=12110000,M22="Completed"),"LightGreen",IF(OR(C22=11110000,C22=12110000),"Light",IF(AND(C22=12111000,M22="Overdue"),"SoftRed",IF(AND(C22=12111000,M22="Completed"),"SoftGreen",IF(OR(C22=11111000,C22=12111000),"Grey",""))))))))))))</f>
        <v>Red</v>
      </c>
      <c r="DW22" s="49" t="n">
        <f aca="false">IF(AK22&lt;&gt;"",AK22,$BI$19)</f>
        <v>45020</v>
      </c>
      <c r="DX22" s="49" t="n">
        <f aca="false">IF(AL22&lt;&gt;"",AL22,$DH$19)</f>
        <v>45135</v>
      </c>
      <c r="DY22" s="79" t="s">
        <v>450</v>
      </c>
    </row>
    <row r="23" customFormat="false" ht="14.15" hidden="false" customHeight="true" outlineLevel="0" collapsed="false">
      <c r="A23" s="63"/>
      <c r="B23" s="53" t="str">
        <f aca="false">AH23</f>
        <v>Stream</v>
      </c>
      <c r="C23" s="51" t="n">
        <f aca="false">IFERROR(INDEX(Static!$D$5:$F$11,MATCH(AH23,Static!$D$5:$D$11,0),3),90000000)</f>
        <v>12110000</v>
      </c>
      <c r="D23" s="51" t="str">
        <f aca="false">MID(C23,2,1)</f>
        <v>2</v>
      </c>
      <c r="E23" s="53" t="str">
        <f aca="false">AB23</f>
        <v>Stream    Some Stream of the projectSTE</v>
      </c>
      <c r="F23" s="51" t="n">
        <f aca="false">IF(B23="Venture",0,IF(OR(B23="Project",B23="Stream",B23="Action"),AK23,""))</f>
        <v>45020</v>
      </c>
      <c r="G23" s="51" t="str">
        <f aca="false">AS23</f>
        <v>ProjectSome Study Project for sub-cat 1STE</v>
      </c>
      <c r="H23" s="49" t="n">
        <f aca="false">IF(B23="Venture",0,IFERROR(INDEX($E$20:$F$55,MATCH(G23,$E$20:$E$55,0),2),""))</f>
        <v>45020</v>
      </c>
      <c r="I23" s="51" t="str">
        <f aca="false">IF(B23="Venture",0,IFERROR(INDEX($E$20:$G$55,MATCH(G23,$E$20:$E$55,0),3),""))</f>
        <v>VNT</v>
      </c>
      <c r="J23" s="51" t="n">
        <f aca="false">IF(B23="Venture",0,IFERROR(INDEX($E$20:$H$55,MATCH(G23,$E$20:$E$55,0),4),""))</f>
        <v>0</v>
      </c>
      <c r="K23" s="51" t="str">
        <f aca="false">IF(B23="Venture",0,IFERROR(INDEX($E$20:$G$55,MATCH(I23,$E$20:$E$55,0),3),""))</f>
        <v>VNT</v>
      </c>
      <c r="L23" s="51" t="str">
        <f aca="false">IF(M23="Completed","Completed","Ongoing")</f>
        <v>Ongoing</v>
      </c>
      <c r="M23" s="51" t="str">
        <f aca="false">IF(OR(AH23="Venture",AH23="Routine",AH23="Run Goal", AH23="Chg Goal", AH23=""),AH23,IF(AN23&lt;&gt;"","Completed",IF(AM23&lt;&gt;"","Pending",IF(AND(AL23&lt;&gt;"",$A$17&gt;AL23),"Overdue",IF($A$17&gt;AK23,"Started","Open")))))</f>
        <v>Overdue</v>
      </c>
      <c r="N23" s="50" t="n">
        <f aca="false">((LEN($BC23)-LEN(SUBSTITUTE($BC23,CHAR(10)&amp;". ","")))/3)+IF(LEFT(TRIM($BC23),2)=". ",1,0)</f>
        <v>0</v>
      </c>
      <c r="O23" s="50" t="n">
        <f aca="false">((LEN($BC23)-LEN(SUBSTITUTE($BC23,CHAR(10)&amp;"/ ","")))/3)+IF(LEFT(TRIM($BC23),2)="/ ",1,0)</f>
        <v>0</v>
      </c>
      <c r="P23" s="50" t="n">
        <f aca="false">((LEN($BC23)-LEN(SUBSTITUTE($BC23,CHAR(10)&amp;"~ ","")))/3)+IF(LEFT(TRIM($BC23),2)="~ ",1,0)</f>
        <v>0</v>
      </c>
      <c r="Q23" s="50" t="n">
        <f aca="false">((LEN($BC23)-LEN(SUBSTITUTE($BC23,CHAR(10)&amp;"! ","")))/3)+IF(LEFT(TRIM($BC23),2)="! ",1,0)</f>
        <v>0</v>
      </c>
      <c r="R23" s="50" t="n">
        <f aca="false">((LEN($BC23)-LEN(SUBSTITUTE($BC23,CHAR(10)&amp;"x ","")))/3)+IF(LEFT(TRIM($BC23),2)="x ",1,0)</f>
        <v>0</v>
      </c>
      <c r="S23" s="50" t="n">
        <f aca="false">SUM(N23:R23)</f>
        <v>0</v>
      </c>
      <c r="T23" s="51" t="n">
        <f aca="false">IF(OR($B23="Drill",$B23="Action"),$AO23,0)</f>
        <v>0</v>
      </c>
      <c r="U23" s="51" t="n">
        <f aca="false">IF(OR($B23="Sub",$B23="Stream"),$AO23+SUMIFS($AO$20:$AO$55,$G$20:$G$55,$E23),0)</f>
        <v>5</v>
      </c>
      <c r="V23" s="51" t="n">
        <f aca="false">IF(OR($B23="Routine",$B23="Project"),$AO23+SUMIFS($U$20:$U$55,$G$20:$G$55,$E23),0)</f>
        <v>0</v>
      </c>
      <c r="W23" s="51" t="n">
        <f aca="false">IF($B23="Venture",$AO23+SUMIFS($V$20:$V$55,$G$20:$G$55,$E23),0)</f>
        <v>0</v>
      </c>
      <c r="X23" s="51" t="n">
        <f aca="false">IF(OR($B23="Drill",$B23="Action"),$AP23,0)</f>
        <v>0</v>
      </c>
      <c r="Y23" s="51" t="n">
        <f aca="false">IF(OR($B23="Sub",$B23="Stream"),$AP23+SUMIFS($AP$20:$AP$55,$G$20:$G$55,$E23),0)</f>
        <v>4</v>
      </c>
      <c r="Z23" s="51" t="n">
        <f aca="false">IF(OR($B23="Routine",$B23="Project"),$AP23+SUMIFS($Y$20:$Y$55,$G$20:$G$55,$E23),0)</f>
        <v>0</v>
      </c>
      <c r="AA23" s="51" t="n">
        <f aca="false">IF($B23="Venture",$AP23+SUMIFS($Z$20:$Z$55,$G$20:$G$55,$E23),0)</f>
        <v>0</v>
      </c>
      <c r="AB23" s="51" t="str">
        <f aca="false">IF(OR(AH23="Venture", AH23="Run Goal", AH23="Chg Goal"),AI23,AH23&amp;AI23&amp;AR23)</f>
        <v>Stream    Some Stream of the projectSTE</v>
      </c>
      <c r="AC23" s="53" t="str">
        <f aca="false">"  -  "&amp;IF(C23=90000000,9&amp;"Z",D23&amp;AE23&amp;IF(OR(B23="Run Goal",B23="Chg Goal", B23="Venture"),"",IF(OR(B23="Routine",B23="Project"),F23&amp;E23,  IF(OR(B23="Sub",B23="Stream"),H23&amp;G23&amp;F23&amp;E23,IF(OR(B23="Drill",B23="Action"),J23&amp;I23&amp;H23&amp;G23&amp;F23&amp;E23,     "") )    )))</f>
        <v>  -  2N45020ProjectSome Study Project for sub-cat 1STE45020Stream    Some Stream of the projectSTE</v>
      </c>
      <c r="AD23" s="51" t="str">
        <f aca="false">IF(AND(AM23="",AN23=""),"Y","N")</f>
        <v>Y</v>
      </c>
      <c r="AE23" s="103" t="str">
        <f aca="false">IF(OR(AF23="Y",AF23="Y"),AF23,IF(DM23="none","N",IF(DM23&gt;($A$17-WEEKDAY($A$17,2)-(7*$AE$18)),"Y","N")))</f>
        <v>N</v>
      </c>
      <c r="AF23" s="104"/>
      <c r="AG23" s="105"/>
      <c r="AH23" s="79" t="s">
        <v>769</v>
      </c>
      <c r="AI23" s="56" t="s">
        <v>770</v>
      </c>
      <c r="AJ23" s="56" t="s">
        <v>771</v>
      </c>
      <c r="AK23" s="106" t="n">
        <v>45020</v>
      </c>
      <c r="AL23" s="106" t="n">
        <v>45107</v>
      </c>
      <c r="AM23" s="106"/>
      <c r="AN23" s="106"/>
      <c r="AO23" s="107" t="n">
        <v>2</v>
      </c>
      <c r="AP23" s="107" t="n">
        <v>1.5</v>
      </c>
      <c r="AQ23" s="79" t="s">
        <v>761</v>
      </c>
      <c r="AR23" s="79" t="s">
        <v>446</v>
      </c>
      <c r="AS23" s="79" t="s">
        <v>345</v>
      </c>
      <c r="AT23" s="79" t="s">
        <v>772</v>
      </c>
      <c r="AU23" s="79" t="s">
        <v>773</v>
      </c>
      <c r="AV23" s="79"/>
      <c r="AW23" s="79"/>
      <c r="AX23" s="79"/>
      <c r="AY23" s="79"/>
      <c r="AZ23" s="79"/>
      <c r="BA23" s="63"/>
      <c r="BB23" s="108" t="s">
        <v>762</v>
      </c>
      <c r="BC23" s="63"/>
      <c r="BD23" s="51" t="n">
        <f aca="false">SUM(N23:Q23)</f>
        <v>0</v>
      </c>
      <c r="BE23" s="59" t="n">
        <f aca="false">IF(AI23="",1,IF(S23&lt;&gt;0,(O23*0.5+R23)/S23,1))</f>
        <v>1</v>
      </c>
      <c r="BF23" s="81" t="n">
        <f aca="false">IF(AH23="","",IF(AH23="Venture",W23,IF(OR(AH23="Chg Goal",AH23="RUn Goal"),V23,IF(OR(AH23="ROutine",AH23="Project"),V23,IF(OR(AH23="Sub",AH23="Stream"),U23,IF(OR(AH23="Drill",AH23="Action"),T23,0))))))</f>
        <v>5</v>
      </c>
      <c r="BG23" s="81" t="n">
        <f aca="false">IF(AH23="","",IF(AH23="Venture",AA23,IF(OR(AH23="Chg Goal",AH23="RUn Goal"),Z23,IF(OR(AH23="ROutine",AH23="Project"),Z23,IF(OR(AH23="Sub",AH23="Stream"),Y23,IF(OR(AH23="Drill",AH23="Action"),X23,0))))))</f>
        <v>4</v>
      </c>
      <c r="BH23" s="109" t="n">
        <f aca="false">IF(AI23="","",IF(OR(BF23=0, BF23=""),0,BG23/BF23))</f>
        <v>0.8</v>
      </c>
      <c r="BI23" s="110" t="str">
        <f aca="false">IF(    OR(   AND($C23=10000000,    BI$19&gt;=$A$17,      BI$19 &lt;($A$17+$DH$17)   ),   AND($C23&lt;&gt;10000000,  BI$19&gt;=$DW23,    BI$19&lt;=($DX23+$DH$17)  ))   ,$DV23,  "")</f>
        <v/>
      </c>
      <c r="BJ23" s="111" t="str">
        <f aca="false">IF(    OR(   AND($C23=10000000,    $A$17&lt;=BJ$19,      ($A$17+$DH$17)&gt;BJ$19    ),   AND($C23&lt;&gt;10000000,  BJ$19&gt;=$DW23,    BJ$19&lt;=($DX23+$DH$17)  ))   ,$DV23,  "")</f>
        <v/>
      </c>
      <c r="BK23" s="111" t="str">
        <f aca="false">IF(    OR(   AND($C23=10000000,    $A$17&lt;=BK$19,      ($A$17+$DH$17)&gt;BK$19    ),   AND($C23&lt;&gt;10000000,  BK$19&gt;=$DW23,    BK$19&lt;=($DX23+$DH$17)  ))   ,$DV23,  "")</f>
        <v/>
      </c>
      <c r="BL23" s="111" t="str">
        <f aca="false">IF(    OR(   AND($C23=10000000,    $A$17&lt;=BL$19,      ($A$17+$DH$17)&gt;BL$19    ),   AND($C23&lt;&gt;10000000,  BL$19&gt;=$DW23,    BL$19&lt;=($DX23+$DH$17)  ))   ,$DV23,  "")</f>
        <v/>
      </c>
      <c r="BM23" s="111" t="str">
        <f aca="false">IF(    OR(   AND($C23=10000000,    $A$17&lt;=BM$19,      ($A$17+$DH$17)&gt;BM$19    ),   AND($C23&lt;&gt;10000000,  BM$19&gt;=$DW23,    BM$19&lt;=($DX23+$DH$17)  ))   ,$DV23,  "")</f>
        <v/>
      </c>
      <c r="BN23" s="111" t="str">
        <f aca="false">IF(    OR(   AND($C23=10000000,    $A$17&lt;=BN$19,      ($A$17+$DH$17)&gt;BN$19    ),   AND($C23&lt;&gt;10000000,  BN$19&gt;=$DW23,    BN$19&lt;=($DX23+$DH$17)  ))   ,$DV23,  "")</f>
        <v/>
      </c>
      <c r="BO23" s="111" t="str">
        <f aca="false">IF(    OR(   AND($C23=10000000,    $A$17&lt;=BO$19,      ($A$17+$DH$17)&gt;BO$19    ),   AND($C23&lt;&gt;10000000,  BO$19&gt;=$DW23,    BO$19&lt;=($DX23+$DH$17)  ))   ,$DV23,  "")</f>
        <v/>
      </c>
      <c r="BP23" s="111" t="str">
        <f aca="false">IF(    OR(   AND($C23=10000000,    $A$17&lt;=BP$19,      ($A$17+$DH$17)&gt;BP$19    ),   AND($C23&lt;&gt;10000000,  BP$19&gt;=$DW23,    BP$19&lt;=($DX23+$DH$17)  ))   ,$DV23,  "")</f>
        <v>LightRed</v>
      </c>
      <c r="BQ23" s="111" t="str">
        <f aca="false">IF(    OR(   AND($C23=10000000,    $A$17&lt;=BQ$19,      ($A$17+$DH$17)&gt;BQ$19    ),   AND($C23&lt;&gt;10000000,  BQ$19&gt;=$DW23,    BQ$19&lt;=($DX23+$DH$17)  ))   ,$DV23,  "")</f>
        <v>LightRed</v>
      </c>
      <c r="BR23" s="111" t="str">
        <f aca="false">IF(    OR(   AND($C23=10000000,    $A$17&lt;=BR$19,      ($A$17+$DH$17)&gt;BR$19    ),   AND($C23&lt;&gt;10000000,  BR$19&gt;=$DW23,    BR$19&lt;=($DX23+$DH$17)  ))   ,$DV23,  "")</f>
        <v>LightRed</v>
      </c>
      <c r="BS23" s="111" t="str">
        <f aca="false">IF(    OR(   AND($C23=10000000,    $A$17&lt;=BS$19,      ($A$17+$DH$17)&gt;BS$19    ),   AND($C23&lt;&gt;10000000,  BS$19&gt;=$DW23,    BS$19&lt;=($DX23+$DH$17)  ))   ,$DV23,  "")</f>
        <v>LightRed</v>
      </c>
      <c r="BT23" s="111" t="str">
        <f aca="false">IF(    OR(   AND($C23=10000000,    $A$17&lt;=BT$19,      ($A$17+$DH$17)&gt;BT$19    ),   AND($C23&lt;&gt;10000000,  BT$19&gt;=$DW23,    BT$19&lt;=($DX23+$DH$17)  ))   ,$DV23,  "")</f>
        <v>LightRed</v>
      </c>
      <c r="BU23" s="111" t="str">
        <f aca="false">IF(    OR(   AND($C23=10000000,    $A$17&lt;=BU$19,      ($A$17+$DH$17)&gt;BU$19    ),   AND($C23&lt;&gt;10000000,  BU$19&gt;=$DW23,    BU$19&lt;=($DX23+$DH$17)  ))   ,$DV23,  "")</f>
        <v>LightRed</v>
      </c>
      <c r="BV23" s="111" t="str">
        <f aca="false">IF(    OR(   AND($C23=10000000,    $A$17&lt;=BV$19,      ($A$17+$DH$17)&gt;BV$19    ),   AND($C23&lt;&gt;10000000,  BV$19&gt;=$DW23,    BV$19&lt;=($DX23+$DH$17)  ))   ,$DV23,  "")</f>
        <v>LightRed</v>
      </c>
      <c r="BW23" s="111" t="str">
        <f aca="false">IF(    OR(   AND($C23=10000000,    $A$17&lt;=BW$19,      ($A$17+$DH$17)&gt;BW$19    ),   AND($C23&lt;&gt;10000000,  BW$19&gt;=$DW23,    BW$19&lt;=($DX23+$DH$17)  ))   ,$DV23,  "")</f>
        <v/>
      </c>
      <c r="BX23" s="111" t="str">
        <f aca="false">IF(    OR(   AND($C23=10000000,    $A$17&lt;=BX$19,      ($A$17+$DH$17)&gt;BX$19    ),   AND($C23&lt;&gt;10000000,  BX$19&gt;=$DW23,    BX$19&lt;=($DX23+$DH$17)  ))   ,$DV23,  "")</f>
        <v/>
      </c>
      <c r="BY23" s="111" t="str">
        <f aca="false">IF(    OR(   AND($C23=10000000,    $A$17&lt;=BY$19,      ($A$17+$DH$17)&gt;BY$19    ),   AND($C23&lt;&gt;10000000,  BY$19&gt;=$DW23,    BY$19&lt;=($DX23+$DH$17)  ))   ,$DV23,  "")</f>
        <v/>
      </c>
      <c r="BZ23" s="111" t="str">
        <f aca="false">IF(    OR(   AND($C23=10000000,    $A$17&lt;=BZ$19,      ($A$17+$DH$17)&gt;BZ$19    ),   AND($C23&lt;&gt;10000000,  BZ$19&gt;=$DW23,    BZ$19&lt;=($DX23+$DH$17)  ))   ,$DV23,  "")</f>
        <v/>
      </c>
      <c r="CA23" s="111" t="str">
        <f aca="false">IF(    OR(   AND($C23=10000000,    $A$17&lt;=CA$19,      ($A$17+$DH$17)&gt;CA$19    ),   AND($C23&lt;&gt;10000000,  CA$19&gt;=$DW23,    CA$19&lt;=($DX23+$DH$17)  ))   ,$DV23,  "")</f>
        <v/>
      </c>
      <c r="CB23" s="111" t="str">
        <f aca="false">IF(    OR(   AND($C23=10000000,    $A$17&lt;=CB$19,      ($A$17+$DH$17)&gt;CB$19    ),   AND($C23&lt;&gt;10000000,  CB$19&gt;=$DW23,    CB$19&lt;=($DX23+$DH$17)  ))   ,$DV23,  "")</f>
        <v/>
      </c>
      <c r="CC23" s="111" t="str">
        <f aca="false">IF(    OR(   AND($C23=10000000,    $A$17&lt;=CC$19,      ($A$17+$DH$17)&gt;CC$19    ),   AND($C23&lt;&gt;10000000,  CC$19&gt;=$DW23,    CC$19&lt;=($DX23+$DH$17)  ))   ,$DV23,  "")</f>
        <v/>
      </c>
      <c r="CD23" s="111" t="str">
        <f aca="false">IF(    OR(   AND($C23=10000000,    $A$17&lt;=CD$19,      ($A$17+$DH$17)&gt;CD$19    ),   AND($C23&lt;&gt;10000000,  CD$19&gt;=$DW23,    CD$19&lt;=($DX23+$DH$17)  ))   ,$DV23,  "")</f>
        <v/>
      </c>
      <c r="CE23" s="111" t="str">
        <f aca="false">IF(    OR(   AND($C23=10000000,    $A$17&lt;=CE$19,      ($A$17+$DH$17)&gt;CE$19    ),   AND($C23&lt;&gt;10000000,  CE$19&gt;=$DW23,    CE$19&lt;=($DX23+$DH$17)  ))   ,$DV23,  "")</f>
        <v/>
      </c>
      <c r="CF23" s="111" t="str">
        <f aca="false">IF(    OR(   AND($C23=10000000,    $A$17&lt;=CF$19,      ($A$17+$DH$17)&gt;CF$19    ),   AND($C23&lt;&gt;10000000,  CF$19&gt;=$DW23,    CF$19&lt;=($DX23+$DH$17)  ))   ,$DV23,  "")</f>
        <v/>
      </c>
      <c r="CG23" s="111" t="str">
        <f aca="false">IF(    OR(   AND($C23=10000000,    $A$17&lt;=CG$19,      ($A$17+$DH$17)&gt;CG$19    ),   AND($C23&lt;&gt;10000000,  CG$19&gt;=$DW23,    CG$19&lt;=($DX23+$DH$17)  ))   ,$DV23,  "")</f>
        <v/>
      </c>
      <c r="CH23" s="111" t="str">
        <f aca="false">IF(    OR(   AND($C23=10000000,    $A$17&lt;=CH$19,      ($A$17+$DH$17)&gt;CH$19    ),   AND($C23&lt;&gt;10000000,  CH$19&gt;=$DW23,    CH$19&lt;=($DX23+$DH$17)  ))   ,$DV23,  "")</f>
        <v/>
      </c>
      <c r="CI23" s="111" t="str">
        <f aca="false">IF(    OR(   AND($C23=10000000,    $A$17&lt;=CI$19,      ($A$17+$DH$17)&gt;CI$19    ),   AND($C23&lt;&gt;10000000,  CI$19&gt;=$DW23,    CI$19&lt;=($DX23+$DH$17)  ))   ,$DV23,  "")</f>
        <v/>
      </c>
      <c r="CJ23" s="111" t="str">
        <f aca="false">IF(    OR(   AND($C23=10000000,    $A$17&lt;=CJ$19,      ($A$17+$DH$17)&gt;CJ$19    ),   AND($C23&lt;&gt;10000000,  CJ$19&gt;=$DW23,    CJ$19&lt;=($DX23+$DH$17)  ))   ,$DV23,  "")</f>
        <v/>
      </c>
      <c r="CK23" s="111" t="str">
        <f aca="false">IF(    OR(   AND($C23=10000000,    $A$17&lt;=CK$19,      ($A$17+$DH$17)&gt;CK$19    ),   AND($C23&lt;&gt;10000000,  CK$19&gt;=$DW23,    CK$19&lt;=($DX23+$DH$17)  ))   ,$DV23,  "")</f>
        <v/>
      </c>
      <c r="CL23" s="111" t="str">
        <f aca="false">IF(    OR(   AND($C23=10000000,    $A$17&lt;=CL$19,      ($A$17+$DH$17)&gt;CL$19    ),   AND($C23&lt;&gt;10000000,  CL$19&gt;=$DW23,    CL$19&lt;=($DX23+$DH$17)  ))   ,$DV23,  "")</f>
        <v/>
      </c>
      <c r="CM23" s="111" t="str">
        <f aca="false">IF(    OR(   AND($C23=10000000,    $A$17&lt;=CM$19,      ($A$17+$DH$17)&gt;CM$19    ),   AND($C23&lt;&gt;10000000,  CM$19&gt;=$DW23,    CM$19&lt;=($DX23+$DH$17)  ))   ,$DV23,  "")</f>
        <v/>
      </c>
      <c r="CN23" s="111" t="str">
        <f aca="false">IF(    OR(   AND($C23=10000000,    $A$17&lt;=CN$19,      ($A$17+$DH$17)&gt;CN$19    ),   AND($C23&lt;&gt;10000000,  CN$19&gt;=$DW23,    CN$19&lt;=($DX23+$DH$17)  ))   ,$DV23,  "")</f>
        <v/>
      </c>
      <c r="CO23" s="111" t="str">
        <f aca="false">IF(    OR(   AND($C23=10000000,    $A$17&lt;=CO$19,      ($A$17+$DH$17)&gt;CO$19    ),   AND($C23&lt;&gt;10000000,  CO$19&gt;=$DW23,    CO$19&lt;=($DX23+$DH$17)  ))   ,$DV23,  "")</f>
        <v/>
      </c>
      <c r="CP23" s="111" t="str">
        <f aca="false">IF(    OR(   AND($C23=10000000,    $A$17&lt;=CP$19,      ($A$17+$DH$17)&gt;CP$19    ),   AND($C23&lt;&gt;10000000,  CP$19&gt;=$DW23,    CP$19&lt;=($DX23+$DH$17)  ))   ,$DV23,  "")</f>
        <v/>
      </c>
      <c r="CQ23" s="111" t="str">
        <f aca="false">IF(    OR(   AND($C23=10000000,    $A$17&lt;=CQ$19,      ($A$17+$DH$17)&gt;CQ$19    ),   AND($C23&lt;&gt;10000000,  CQ$19&gt;=$DW23,    CQ$19&lt;=($DX23+$DH$17)  ))   ,$DV23,  "")</f>
        <v/>
      </c>
      <c r="CR23" s="111" t="str">
        <f aca="false">IF(    OR(   AND($C23=10000000,    $A$17&lt;=CR$19,      ($A$17+$DH$17)&gt;CR$19    ),   AND($C23&lt;&gt;10000000,  CR$19&gt;=$DW23,    CR$19&lt;=($DX23+$DH$17)  ))   ,$DV23,  "")</f>
        <v/>
      </c>
      <c r="CS23" s="111" t="str">
        <f aca="false">IF(    OR(   AND($C23=10000000,    $A$17&lt;=CS$19,      ($A$17+$DH$17)&gt;CS$19    ),   AND($C23&lt;&gt;10000000,  CS$19&gt;=$DW23,    CS$19&lt;=($DX23+$DH$17)  ))   ,$DV23,  "")</f>
        <v/>
      </c>
      <c r="CT23" s="111" t="str">
        <f aca="false">IF(    OR(   AND($C23=10000000,    $A$17&lt;=CT$19,      ($A$17+$DH$17)&gt;CT$19    ),   AND($C23&lt;&gt;10000000,  CT$19&gt;=$DW23,    CT$19&lt;=($DX23+$DH$17)  ))   ,$DV23,  "")</f>
        <v/>
      </c>
      <c r="CU23" s="111" t="str">
        <f aca="false">IF(    OR(   AND($C23=10000000,    $A$17&lt;=CU$19,      ($A$17+$DH$17)&gt;CU$19    ),   AND($C23&lt;&gt;10000000,  CU$19&gt;=$DW23,    CU$19&lt;=($DX23+$DH$17)  ))   ,$DV23,  "")</f>
        <v/>
      </c>
      <c r="CV23" s="111" t="str">
        <f aca="false">IF(    OR(   AND($C23=10000000,    $A$17&lt;=CV$19,      ($A$17+$DH$17)&gt;CV$19    ),   AND($C23&lt;&gt;10000000,  CV$19&gt;=$DW23,    CV$19&lt;=($DX23+$DH$17)  ))   ,$DV23,  "")</f>
        <v/>
      </c>
      <c r="CW23" s="111" t="str">
        <f aca="false">IF(    OR(   AND($C23=10000000,    $A$17&lt;=CW$19,      ($A$17+$DH$17)&gt;CW$19    ),   AND($C23&lt;&gt;10000000,  CW$19&gt;=$DW23,    CW$19&lt;=($DX23+$DH$17)  ))   ,$DV23,  "")</f>
        <v/>
      </c>
      <c r="CX23" s="111" t="str">
        <f aca="false">IF(    OR(   AND($C23=10000000,    $A$17&lt;=CX$19,      ($A$17+$DH$17)&gt;CX$19    ),   AND($C23&lt;&gt;10000000,  CX$19&gt;=$DW23,    CX$19&lt;=($DX23+$DH$17)  ))   ,$DV23,  "")</f>
        <v/>
      </c>
      <c r="CY23" s="111" t="str">
        <f aca="false">IF(    OR(   AND($C23=10000000,    $A$17&lt;=CY$19,      ($A$17+$DH$17)&gt;CY$19    ),   AND($C23&lt;&gt;10000000,  CY$19&gt;=$DW23,    CY$19&lt;=($DX23+$DH$17)  ))   ,$DV23,  "")</f>
        <v/>
      </c>
      <c r="CZ23" s="111" t="str">
        <f aca="false">IF(    OR(   AND($C23=10000000,    $A$17&lt;=CZ$19,      ($A$17+$DH$17)&gt;CZ$19    ),   AND($C23&lt;&gt;10000000,  CZ$19&gt;=$DW23,    CZ$19&lt;=($DX23+$DH$17)  ))   ,$DV23,  "")</f>
        <v/>
      </c>
      <c r="DA23" s="111" t="str">
        <f aca="false">IF(    OR(   AND($C23=10000000,    $A$17&lt;=DA$19,      ($A$17+$DH$17)&gt;DA$19    ),   AND($C23&lt;&gt;10000000,  DA$19&gt;=$DW23,    DA$19&lt;=($DX23+$DH$17)  ))   ,$DV23,  "")</f>
        <v/>
      </c>
      <c r="DB23" s="111" t="str">
        <f aca="false">IF(    OR(   AND($C23=10000000,    $A$17&lt;=DB$19,      ($A$17+$DH$17)&gt;DB$19    ),   AND($C23&lt;&gt;10000000,  DB$19&gt;=$DW23,    DB$19&lt;=($DX23+$DH$17)  ))   ,$DV23,  "")</f>
        <v/>
      </c>
      <c r="DC23" s="111" t="str">
        <f aca="false">IF(    OR(   AND($C23=10000000,    $A$17&lt;=DC$19,      ($A$17+$DH$17)&gt;DC$19    ),   AND($C23&lt;&gt;10000000,  DC$19&gt;=$DW23,    DC$19&lt;=($DX23+$DH$17)  ))   ,$DV23,  "")</f>
        <v/>
      </c>
      <c r="DD23" s="111" t="str">
        <f aca="false">IF(    OR(   AND($C23=10000000,    $A$17&lt;=DD$19,      ($A$17+$DH$17)&gt;DD$19    ),   AND($C23&lt;&gt;10000000,  DD$19&gt;=$DW23,    DD$19&lt;=($DX23+$DH$17)  ))   ,$DV23,  "")</f>
        <v/>
      </c>
      <c r="DE23" s="111" t="str">
        <f aca="false">IF(    OR(   AND($C23=10000000,    $A$17&lt;=DE$19,      ($A$17+$DH$17)&gt;DE$19    ),   AND($C23&lt;&gt;10000000,  DE$19&gt;=$DW23,    DE$19&lt;=($DX23+$DH$17)  ))   ,$DV23,  "")</f>
        <v/>
      </c>
      <c r="DF23" s="111" t="str">
        <f aca="false">IF(    OR(   AND($C23=10000000,    $A$17&lt;=DF$19,      ($A$17+$DH$17)&gt;DF$19    ),   AND($C23&lt;&gt;10000000,  DF$19&gt;=$DW23,    DF$19&lt;=($DX23+$DH$17)  ))   ,$DV23,  "")</f>
        <v/>
      </c>
      <c r="DG23" s="111" t="str">
        <f aca="false">IF(    OR(   AND($C23=10000000,    $A$17&lt;=DG$19,      ($A$17+$DH$17)&gt;DG$19    ),   AND($C23&lt;&gt;10000000,  DG$19&gt;=$DW23,    DG$19&lt;=($DX23+$DH$17)  ))   ,$DV23,  "")</f>
        <v/>
      </c>
      <c r="DH23" s="111" t="str">
        <f aca="false">IF(    OR(   AND($C23=10000000,    $A$17&lt;=DH$19,      ($A$17+$DH$17)&gt;DH$19    ),   AND($C23&lt;&gt;10000000,  DH$19&gt;=$DW23,    DH$19&lt;=($DX23+$DH$17)  ))   ,$DV23,  "")</f>
        <v/>
      </c>
      <c r="DI23" s="112" t="str">
        <f aca="false">IF(BB23="","",IF(ISERROR(FIND(CHAR(10),BB23,1)),BB23,LEFT(BB23,FIND(CHAR(10),BB23,1))))</f>
        <v>01-01-22: init</v>
      </c>
      <c r="DJ23" s="53" t="str">
        <f aca="false">IF(BB23="","",IFERROR(RIGHT(BB23,LEN(BB23)-FIND("@@@",SUBSTITUTE(BB23,CHAR(10),"@@@",LEN(BB23)-LEN(SUBSTITUTE(BB23,CHAR(10),""))),1)),BB23))</f>
        <v>01-01-22: init</v>
      </c>
      <c r="DK23" s="53" t="str">
        <f aca="false">IF(BC23="","",IFERROR(RIGHT(BC23,LEN(BC23)-FIND("@@@",SUBSTITUTE(BC23,CHAR(10),"@@@",LEN(BC23)-LEN(SUBSTITUTE(BC23,CHAR(10),""))),1)),BC23))</f>
        <v/>
      </c>
      <c r="DL23" s="113" t="n">
        <f aca="false">IFERROR(DATE(("20"&amp;MID(DI23,7,2))*1,MID(DI23,4,2)*1,MID(DI23,1,2)*1),"none")</f>
        <v>44562</v>
      </c>
      <c r="DM23" s="113" t="n">
        <f aca="false">IFERROR(DATE(("20"&amp;MID(DJ23,7,2))*1,MID(DJ23,4,2)*1,MID(DJ23,1,2)*1),"none")</f>
        <v>44562</v>
      </c>
      <c r="DN23" s="113" t="n">
        <f aca="false">IF(DL23&lt;&gt;"none",DL23,DATE(1900,1,1))</f>
        <v>44562</v>
      </c>
      <c r="DO23" s="113" t="n">
        <f aca="false">IF(DM23&lt;&gt;"none",DM23,DN23)</f>
        <v>44562</v>
      </c>
      <c r="DP23" s="114" t="n">
        <f aca="false">_xlfn.DAYS($A$17,DN23)</f>
        <v>772</v>
      </c>
      <c r="DQ23" s="114" t="n">
        <f aca="false">_xlfn.DAYS($A$17, DO23)</f>
        <v>772</v>
      </c>
      <c r="DR23" s="51" t="n">
        <f aca="false">IF(DO23&lt;&gt;"",INT(DQ23/7),0)</f>
        <v>110</v>
      </c>
      <c r="DS23" s="114" t="n">
        <f aca="false">IF(M23="Overdue",_xlfn.DAYS($A$17,AL23),0)</f>
        <v>227</v>
      </c>
      <c r="DT23" s="114" t="n">
        <f aca="false">IF(AH23="Project",_xlfn.DAYS(AL23,$A$17),0)</f>
        <v>0</v>
      </c>
      <c r="DU23" s="51" t="str">
        <f aca="false">IFERROR(INDEX(Static!$D$5:$E$11,MATCH(AH23,Static!$D$5:$D$11,0),2),"")</f>
        <v>Chg</v>
      </c>
      <c r="DV23" s="51" t="str">
        <f aca="false">IF(C23=10000000,"Red",IF(OR(C23=11000000,C23=12000000),"Black",IF(C23=11100000,"Dark",IF(AND(C23=12100000,M23="Completed"),"Green",IF(AND(C23=12100000,M23="Overdue"),"Red",IF(C23=12100000,"Dark",IF(AND(C23=12110000,M23="Overdue"),"LightRed",IF(AND(C23=12110000,M23="Completed"),"LightGreen",IF(OR(C23=11110000,C23=12110000),"Light",IF(AND(C23=12111000,M23="Overdue"),"SoftRed",IF(AND(C23=12111000,M23="Completed"),"SoftGreen",IF(OR(C23=11111000,C23=12111000),"Grey",""))))))))))))</f>
        <v>LightRed</v>
      </c>
      <c r="DW23" s="49" t="n">
        <f aca="false">IF(AK23&lt;&gt;"",AK23,$BI$19)</f>
        <v>45020</v>
      </c>
      <c r="DX23" s="49" t="n">
        <f aca="false">IF(AL23&lt;&gt;"",AL23,$DH$19)</f>
        <v>45107</v>
      </c>
      <c r="DY23" s="79" t="s">
        <v>450</v>
      </c>
    </row>
    <row r="24" customFormat="false" ht="14.15" hidden="false" customHeight="true" outlineLevel="0" collapsed="false">
      <c r="A24" s="63"/>
      <c r="B24" s="53" t="str">
        <f aca="false">AH24</f>
        <v>Action</v>
      </c>
      <c r="C24" s="51" t="n">
        <f aca="false">IFERROR(INDEX(Static!$D$5:$F$11,MATCH(AH24,Static!$D$5:$D$11,0),3),90000000)</f>
        <v>12111000</v>
      </c>
      <c r="D24" s="51" t="str">
        <f aca="false">MID(C24,2,1)</f>
        <v>2</v>
      </c>
      <c r="E24" s="53" t="str">
        <f aca="false">AB24</f>
        <v>Action        Some Action for the StudySTE</v>
      </c>
      <c r="F24" s="51" t="n">
        <f aca="false">IF(B24="Venture",0,IF(OR(B24="Project",B24="Stream",B24="Action"),AK24,""))</f>
        <v>45020</v>
      </c>
      <c r="G24" s="51" t="str">
        <f aca="false">AS24</f>
        <v>Stream    Some Stream of the projectSTE</v>
      </c>
      <c r="H24" s="49" t="n">
        <f aca="false">IF(B24="Venture",0,IFERROR(INDEX($E$20:$F$55,MATCH(G24,$E$20:$E$55,0),2),""))</f>
        <v>45020</v>
      </c>
      <c r="I24" s="51" t="str">
        <f aca="false">IF(B24="Venture",0,IFERROR(INDEX($E$20:$G$55,MATCH(G24,$E$20:$E$55,0),3),""))</f>
        <v>ProjectSome Study Project for sub-cat 1STE</v>
      </c>
      <c r="J24" s="49" t="n">
        <f aca="false">IF(B24="Venture",0,IFERROR(INDEX($E$20:$H$55,MATCH(G24,$E$20:$E$55,0),4),""))</f>
        <v>45020</v>
      </c>
      <c r="K24" s="51" t="str">
        <f aca="false">IF(B24="Venture",0,IFERROR(INDEX($E$20:$G$55,MATCH(I24,$E$20:$E$55,0),3),""))</f>
        <v>VNT</v>
      </c>
      <c r="L24" s="51" t="str">
        <f aca="false">IF(M24="Completed","Completed","Ongoing")</f>
        <v>Ongoing</v>
      </c>
      <c r="M24" s="51" t="str">
        <f aca="false">IF(OR(AH24="Venture",AH24="Routine",AH24="Run Goal", AH24="Chg Goal", AH24=""),AH24,IF(AN24&lt;&gt;"","Completed",IF(AM24&lt;&gt;"","Pending",IF(AND(AL24&lt;&gt;"",$A$17&gt;AL24),"Overdue",IF($A$17&gt;AK24,"Started","Open")))))</f>
        <v>Overdue</v>
      </c>
      <c r="N24" s="50" t="n">
        <f aca="false">((LEN($BC24)-LEN(SUBSTITUTE($BC24,CHAR(10)&amp;". ","")))/3)+IF(LEFT(TRIM($BC24),2)=". ",1,0)</f>
        <v>0</v>
      </c>
      <c r="O24" s="50" t="n">
        <f aca="false">((LEN($BC24)-LEN(SUBSTITUTE($BC24,CHAR(10)&amp;"/ ","")))/3)+IF(LEFT(TRIM($BC24),2)="/ ",1,0)</f>
        <v>0</v>
      </c>
      <c r="P24" s="50" t="n">
        <f aca="false">((LEN($BC24)-LEN(SUBSTITUTE($BC24,CHAR(10)&amp;"~ ","")))/3)+IF(LEFT(TRIM($BC24),2)="~ ",1,0)</f>
        <v>0</v>
      </c>
      <c r="Q24" s="50" t="n">
        <f aca="false">((LEN($BC24)-LEN(SUBSTITUTE($BC24,CHAR(10)&amp;"! ","")))/3)+IF(LEFT(TRIM($BC24),2)="! ",1,0)</f>
        <v>0</v>
      </c>
      <c r="R24" s="50" t="n">
        <f aca="false">((LEN($BC24)-LEN(SUBSTITUTE($BC24,CHAR(10)&amp;"x ","")))/3)+IF(LEFT(TRIM($BC24),2)="x ",1,0)</f>
        <v>0</v>
      </c>
      <c r="S24" s="50" t="n">
        <f aca="false">SUM(N24:R24)</f>
        <v>0</v>
      </c>
      <c r="T24" s="115" t="n">
        <f aca="false">IF(OR($B24="Drill",$B24="Action"),$AO24,0)</f>
        <v>3</v>
      </c>
      <c r="U24" s="51" t="n">
        <f aca="false">IF(OR($B24="Sub",$B24="Stream"),$AO24+SUMIFS($AO$20:$AO$55,$G$20:$G$55,$E24),0)</f>
        <v>0</v>
      </c>
      <c r="V24" s="51" t="n">
        <f aca="false">IF(OR($B24="Routine",$B24="Project"),$AO24+SUMIFS($U$20:$U$55,$G$20:$G$55,$E24),0)</f>
        <v>0</v>
      </c>
      <c r="W24" s="51" t="n">
        <f aca="false">IF($B24="Venture",$AO24+SUMIFS($V$20:$V$55,$G$20:$G$55,$E24),0)</f>
        <v>0</v>
      </c>
      <c r="X24" s="115" t="n">
        <f aca="false">IF(OR($B24="Drill",$B24="Action"),$AP24,0)</f>
        <v>2.5</v>
      </c>
      <c r="Y24" s="51" t="n">
        <f aca="false">IF(OR($B24="Sub",$B24="Stream"),$AP24+SUMIFS($AP$20:$AP$55,$G$20:$G$55,$E24),0)</f>
        <v>0</v>
      </c>
      <c r="Z24" s="51" t="n">
        <f aca="false">IF(OR($B24="Routine",$B24="Project"),$AP24+SUMIFS($Y$20:$Y$55,$G$20:$G$55,$E24),0)</f>
        <v>0</v>
      </c>
      <c r="AA24" s="51" t="n">
        <f aca="false">IF($B24="Venture",$AP24+SUMIFS($Z$20:$Z$55,$G$20:$G$55,$E24),0)</f>
        <v>0</v>
      </c>
      <c r="AB24" s="51" t="str">
        <f aca="false">IF(OR(AH24="Venture", AH24="Run Goal", AH24="Chg Goal"),AI24,AH24&amp;AI24&amp;AR24)</f>
        <v>Action        Some Action for the StudySTE</v>
      </c>
      <c r="AC24" s="53" t="str">
        <f aca="false">"  -  "&amp;IF(C24=90000000,9&amp;"Z",D24&amp;AE24&amp;IF(OR(B24="Run Goal",B24="Chg Goal", B24="Venture"),"",IF(OR(B24="Routine",B24="Project"),F24&amp;E24,  IF(OR(B24="Sub",B24="Stream"),H24&amp;G24&amp;F24&amp;E24,IF(OR(B24="Drill",B24="Action"),J24&amp;I24&amp;H24&amp;G24&amp;F24&amp;E24,     "") )    )))</f>
        <v>  -  2N45020ProjectSome Study Project for sub-cat 1STE45020Stream    Some Stream of the projectSTE45020Action        Some Action for the StudySTE</v>
      </c>
      <c r="AD24" s="51" t="str">
        <f aca="false">IF(AND(AM24="",AN24=""),"Y","N")</f>
        <v>Y</v>
      </c>
      <c r="AE24" s="103" t="str">
        <f aca="false">IF(OR(AF24="Y",AF24="Y"),AF24,IF(DM24="none","N",IF(DM24&gt;($A$17-WEEKDAY($A$17,2)-(7*$AE$18)),"Y","N")))</f>
        <v>N</v>
      </c>
      <c r="AF24" s="104"/>
      <c r="AG24" s="105"/>
      <c r="AH24" s="79" t="s">
        <v>774</v>
      </c>
      <c r="AI24" s="56" t="s">
        <v>775</v>
      </c>
      <c r="AJ24" s="56" t="s">
        <v>776</v>
      </c>
      <c r="AK24" s="106" t="n">
        <v>45020</v>
      </c>
      <c r="AL24" s="106" t="n">
        <v>45076</v>
      </c>
      <c r="AM24" s="106"/>
      <c r="AN24" s="106"/>
      <c r="AO24" s="107" t="n">
        <v>3</v>
      </c>
      <c r="AP24" s="107" t="n">
        <v>2.5</v>
      </c>
      <c r="AQ24" s="79" t="s">
        <v>761</v>
      </c>
      <c r="AR24" s="79" t="s">
        <v>446</v>
      </c>
      <c r="AS24" s="79" t="s">
        <v>347</v>
      </c>
      <c r="AT24" s="79" t="s">
        <v>772</v>
      </c>
      <c r="AU24" s="79" t="s">
        <v>773</v>
      </c>
      <c r="AV24" s="79"/>
      <c r="AW24" s="79"/>
      <c r="AX24" s="79"/>
      <c r="AY24" s="79"/>
      <c r="AZ24" s="79"/>
      <c r="BA24" s="63"/>
      <c r="BB24" s="108" t="s">
        <v>762</v>
      </c>
      <c r="BC24" s="63"/>
      <c r="BD24" s="51" t="n">
        <f aca="false">SUM(N24:Q24)</f>
        <v>0</v>
      </c>
      <c r="BE24" s="59" t="n">
        <f aca="false">IF(AI24="",1,IF(S24&lt;&gt;0,(O24*0.5+R24)/S24,1))</f>
        <v>1</v>
      </c>
      <c r="BF24" s="81" t="n">
        <f aca="false">IF(AH24="","",IF(AH24="Venture",W24,IF(OR(AH24="Chg Goal",AH24="RUn Goal"),V24,IF(OR(AH24="ROutine",AH24="Project"),V24,IF(OR(AH24="Sub",AH24="Stream"),U24,IF(OR(AH24="Drill",AH24="Action"),T24,0))))))</f>
        <v>3</v>
      </c>
      <c r="BG24" s="81" t="n">
        <f aca="false">IF(AH24="","",IF(AH24="Venture",AA24,IF(OR(AH24="Chg Goal",AH24="RUn Goal"),Z24,IF(OR(AH24="ROutine",AH24="Project"),Z24,IF(OR(AH24="Sub",AH24="Stream"),Y24,IF(OR(AH24="Drill",AH24="Action"),X24,0))))))</f>
        <v>2.5</v>
      </c>
      <c r="BH24" s="109" t="n">
        <f aca="false">IF(AI24="","",IF(OR(BF24=0, BF24=""),0,BG24/BF24))</f>
        <v>0.833333333333333</v>
      </c>
      <c r="BI24" s="110" t="str">
        <f aca="false">IF(    OR(   AND($C24=10000000,    BI$19&gt;=$A$17,      BI$19 &lt;($A$17+$DH$17)   ),   AND($C24&lt;&gt;10000000,  BI$19&gt;=$DW24,    BI$19&lt;=($DX24+$DH$17)  ))   ,$DV24,  "")</f>
        <v/>
      </c>
      <c r="BJ24" s="111" t="str">
        <f aca="false">IF(    OR(   AND($C24=10000000,    $A$17&lt;=BJ$19,      ($A$17+$DH$17)&gt;BJ$19    ),   AND($C24&lt;&gt;10000000,  BJ$19&gt;=$DW24,    BJ$19&lt;=($DX24+$DH$17)  ))   ,$DV24,  "")</f>
        <v/>
      </c>
      <c r="BK24" s="111" t="str">
        <f aca="false">IF(    OR(   AND($C24=10000000,    $A$17&lt;=BK$19,      ($A$17+$DH$17)&gt;BK$19    ),   AND($C24&lt;&gt;10000000,  BK$19&gt;=$DW24,    BK$19&lt;=($DX24+$DH$17)  ))   ,$DV24,  "")</f>
        <v/>
      </c>
      <c r="BL24" s="111" t="str">
        <f aca="false">IF(    OR(   AND($C24=10000000,    $A$17&lt;=BL$19,      ($A$17+$DH$17)&gt;BL$19    ),   AND($C24&lt;&gt;10000000,  BL$19&gt;=$DW24,    BL$19&lt;=($DX24+$DH$17)  ))   ,$DV24,  "")</f>
        <v/>
      </c>
      <c r="BM24" s="111" t="str">
        <f aca="false">IF(    OR(   AND($C24=10000000,    $A$17&lt;=BM$19,      ($A$17+$DH$17)&gt;BM$19    ),   AND($C24&lt;&gt;10000000,  BM$19&gt;=$DW24,    BM$19&lt;=($DX24+$DH$17)  ))   ,$DV24,  "")</f>
        <v/>
      </c>
      <c r="BN24" s="111" t="str">
        <f aca="false">IF(    OR(   AND($C24=10000000,    $A$17&lt;=BN$19,      ($A$17+$DH$17)&gt;BN$19    ),   AND($C24&lt;&gt;10000000,  BN$19&gt;=$DW24,    BN$19&lt;=($DX24+$DH$17)  ))   ,$DV24,  "")</f>
        <v/>
      </c>
      <c r="BO24" s="111" t="str">
        <f aca="false">IF(    OR(   AND($C24=10000000,    $A$17&lt;=BO$19,      ($A$17+$DH$17)&gt;BO$19    ),   AND($C24&lt;&gt;10000000,  BO$19&gt;=$DW24,    BO$19&lt;=($DX24+$DH$17)  ))   ,$DV24,  "")</f>
        <v/>
      </c>
      <c r="BP24" s="111" t="str">
        <f aca="false">IF(    OR(   AND($C24=10000000,    $A$17&lt;=BP$19,      ($A$17+$DH$17)&gt;BP$19    ),   AND($C24&lt;&gt;10000000,  BP$19&gt;=$DW24,    BP$19&lt;=($DX24+$DH$17)  ))   ,$DV24,  "")</f>
        <v>SoftRed</v>
      </c>
      <c r="BQ24" s="111" t="str">
        <f aca="false">IF(    OR(   AND($C24=10000000,    $A$17&lt;=BQ$19,      ($A$17+$DH$17)&gt;BQ$19    ),   AND($C24&lt;&gt;10000000,  BQ$19&gt;=$DW24,    BQ$19&lt;=($DX24+$DH$17)  ))   ,$DV24,  "")</f>
        <v>SoftRed</v>
      </c>
      <c r="BR24" s="111" t="str">
        <f aca="false">IF(    OR(   AND($C24=10000000,    $A$17&lt;=BR$19,      ($A$17+$DH$17)&gt;BR$19    ),   AND($C24&lt;&gt;10000000,  BR$19&gt;=$DW24,    BR$19&lt;=($DX24+$DH$17)  ))   ,$DV24,  "")</f>
        <v>SoftRed</v>
      </c>
      <c r="BS24" s="111" t="str">
        <f aca="false">IF(    OR(   AND($C24=10000000,    $A$17&lt;=BS$19,      ($A$17+$DH$17)&gt;BS$19    ),   AND($C24&lt;&gt;10000000,  BS$19&gt;=$DW24,    BS$19&lt;=($DX24+$DH$17)  ))   ,$DV24,  "")</f>
        <v>SoftRed</v>
      </c>
      <c r="BT24" s="111" t="str">
        <f aca="false">IF(    OR(   AND($C24=10000000,    $A$17&lt;=BT$19,      ($A$17+$DH$17)&gt;BT$19    ),   AND($C24&lt;&gt;10000000,  BT$19&gt;=$DW24,    BT$19&lt;=($DX24+$DH$17)  ))   ,$DV24,  "")</f>
        <v>SoftRed</v>
      </c>
      <c r="BU24" s="111" t="str">
        <f aca="false">IF(    OR(   AND($C24=10000000,    $A$17&lt;=BU$19,      ($A$17+$DH$17)&gt;BU$19    ),   AND($C24&lt;&gt;10000000,  BU$19&gt;=$DW24,    BU$19&lt;=($DX24+$DH$17)  ))   ,$DV24,  "")</f>
        <v/>
      </c>
      <c r="BV24" s="111" t="str">
        <f aca="false">IF(    OR(   AND($C24=10000000,    $A$17&lt;=BV$19,      ($A$17+$DH$17)&gt;BV$19    ),   AND($C24&lt;&gt;10000000,  BV$19&gt;=$DW24,    BV$19&lt;=($DX24+$DH$17)  ))   ,$DV24,  "")</f>
        <v/>
      </c>
      <c r="BW24" s="111" t="str">
        <f aca="false">IF(    OR(   AND($C24=10000000,    $A$17&lt;=BW$19,      ($A$17+$DH$17)&gt;BW$19    ),   AND($C24&lt;&gt;10000000,  BW$19&gt;=$DW24,    BW$19&lt;=($DX24+$DH$17)  ))   ,$DV24,  "")</f>
        <v/>
      </c>
      <c r="BX24" s="111" t="str">
        <f aca="false">IF(    OR(   AND($C24=10000000,    $A$17&lt;=BX$19,      ($A$17+$DH$17)&gt;BX$19    ),   AND($C24&lt;&gt;10000000,  BX$19&gt;=$DW24,    BX$19&lt;=($DX24+$DH$17)  ))   ,$DV24,  "")</f>
        <v/>
      </c>
      <c r="BY24" s="111" t="str">
        <f aca="false">IF(    OR(   AND($C24=10000000,    $A$17&lt;=BY$19,      ($A$17+$DH$17)&gt;BY$19    ),   AND($C24&lt;&gt;10000000,  BY$19&gt;=$DW24,    BY$19&lt;=($DX24+$DH$17)  ))   ,$DV24,  "")</f>
        <v/>
      </c>
      <c r="BZ24" s="111" t="str">
        <f aca="false">IF(    OR(   AND($C24=10000000,    $A$17&lt;=BZ$19,      ($A$17+$DH$17)&gt;BZ$19    ),   AND($C24&lt;&gt;10000000,  BZ$19&gt;=$DW24,    BZ$19&lt;=($DX24+$DH$17)  ))   ,$DV24,  "")</f>
        <v/>
      </c>
      <c r="CA24" s="111" t="str">
        <f aca="false">IF(    OR(   AND($C24=10000000,    $A$17&lt;=CA$19,      ($A$17+$DH$17)&gt;CA$19    ),   AND($C24&lt;&gt;10000000,  CA$19&gt;=$DW24,    CA$19&lt;=($DX24+$DH$17)  ))   ,$DV24,  "")</f>
        <v/>
      </c>
      <c r="CB24" s="111" t="str">
        <f aca="false">IF(    OR(   AND($C24=10000000,    $A$17&lt;=CB$19,      ($A$17+$DH$17)&gt;CB$19    ),   AND($C24&lt;&gt;10000000,  CB$19&gt;=$DW24,    CB$19&lt;=($DX24+$DH$17)  ))   ,$DV24,  "")</f>
        <v/>
      </c>
      <c r="CC24" s="111" t="str">
        <f aca="false">IF(    OR(   AND($C24=10000000,    $A$17&lt;=CC$19,      ($A$17+$DH$17)&gt;CC$19    ),   AND($C24&lt;&gt;10000000,  CC$19&gt;=$DW24,    CC$19&lt;=($DX24+$DH$17)  ))   ,$DV24,  "")</f>
        <v/>
      </c>
      <c r="CD24" s="111" t="str">
        <f aca="false">IF(    OR(   AND($C24=10000000,    $A$17&lt;=CD$19,      ($A$17+$DH$17)&gt;CD$19    ),   AND($C24&lt;&gt;10000000,  CD$19&gt;=$DW24,    CD$19&lt;=($DX24+$DH$17)  ))   ,$DV24,  "")</f>
        <v/>
      </c>
      <c r="CE24" s="111" t="str">
        <f aca="false">IF(    OR(   AND($C24=10000000,    $A$17&lt;=CE$19,      ($A$17+$DH$17)&gt;CE$19    ),   AND($C24&lt;&gt;10000000,  CE$19&gt;=$DW24,    CE$19&lt;=($DX24+$DH$17)  ))   ,$DV24,  "")</f>
        <v/>
      </c>
      <c r="CF24" s="111" t="str">
        <f aca="false">IF(    OR(   AND($C24=10000000,    $A$17&lt;=CF$19,      ($A$17+$DH$17)&gt;CF$19    ),   AND($C24&lt;&gt;10000000,  CF$19&gt;=$DW24,    CF$19&lt;=($DX24+$DH$17)  ))   ,$DV24,  "")</f>
        <v/>
      </c>
      <c r="CG24" s="111" t="str">
        <f aca="false">IF(    OR(   AND($C24=10000000,    $A$17&lt;=CG$19,      ($A$17+$DH$17)&gt;CG$19    ),   AND($C24&lt;&gt;10000000,  CG$19&gt;=$DW24,    CG$19&lt;=($DX24+$DH$17)  ))   ,$DV24,  "")</f>
        <v/>
      </c>
      <c r="CH24" s="111" t="str">
        <f aca="false">IF(    OR(   AND($C24=10000000,    $A$17&lt;=CH$19,      ($A$17+$DH$17)&gt;CH$19    ),   AND($C24&lt;&gt;10000000,  CH$19&gt;=$DW24,    CH$19&lt;=($DX24+$DH$17)  ))   ,$DV24,  "")</f>
        <v/>
      </c>
      <c r="CI24" s="111" t="str">
        <f aca="false">IF(    OR(   AND($C24=10000000,    $A$17&lt;=CI$19,      ($A$17+$DH$17)&gt;CI$19    ),   AND($C24&lt;&gt;10000000,  CI$19&gt;=$DW24,    CI$19&lt;=($DX24+$DH$17)  ))   ,$DV24,  "")</f>
        <v/>
      </c>
      <c r="CJ24" s="111" t="str">
        <f aca="false">IF(    OR(   AND($C24=10000000,    $A$17&lt;=CJ$19,      ($A$17+$DH$17)&gt;CJ$19    ),   AND($C24&lt;&gt;10000000,  CJ$19&gt;=$DW24,    CJ$19&lt;=($DX24+$DH$17)  ))   ,$DV24,  "")</f>
        <v/>
      </c>
      <c r="CK24" s="111" t="str">
        <f aca="false">IF(    OR(   AND($C24=10000000,    $A$17&lt;=CK$19,      ($A$17+$DH$17)&gt;CK$19    ),   AND($C24&lt;&gt;10000000,  CK$19&gt;=$DW24,    CK$19&lt;=($DX24+$DH$17)  ))   ,$DV24,  "")</f>
        <v/>
      </c>
      <c r="CL24" s="111" t="str">
        <f aca="false">IF(    OR(   AND($C24=10000000,    $A$17&lt;=CL$19,      ($A$17+$DH$17)&gt;CL$19    ),   AND($C24&lt;&gt;10000000,  CL$19&gt;=$DW24,    CL$19&lt;=($DX24+$DH$17)  ))   ,$DV24,  "")</f>
        <v/>
      </c>
      <c r="CM24" s="111" t="str">
        <f aca="false">IF(    OR(   AND($C24=10000000,    $A$17&lt;=CM$19,      ($A$17+$DH$17)&gt;CM$19    ),   AND($C24&lt;&gt;10000000,  CM$19&gt;=$DW24,    CM$19&lt;=($DX24+$DH$17)  ))   ,$DV24,  "")</f>
        <v/>
      </c>
      <c r="CN24" s="111" t="str">
        <f aca="false">IF(    OR(   AND($C24=10000000,    $A$17&lt;=CN$19,      ($A$17+$DH$17)&gt;CN$19    ),   AND($C24&lt;&gt;10000000,  CN$19&gt;=$DW24,    CN$19&lt;=($DX24+$DH$17)  ))   ,$DV24,  "")</f>
        <v/>
      </c>
      <c r="CO24" s="111" t="str">
        <f aca="false">IF(    OR(   AND($C24=10000000,    $A$17&lt;=CO$19,      ($A$17+$DH$17)&gt;CO$19    ),   AND($C24&lt;&gt;10000000,  CO$19&gt;=$DW24,    CO$19&lt;=($DX24+$DH$17)  ))   ,$DV24,  "")</f>
        <v/>
      </c>
      <c r="CP24" s="111" t="str">
        <f aca="false">IF(    OR(   AND($C24=10000000,    $A$17&lt;=CP$19,      ($A$17+$DH$17)&gt;CP$19    ),   AND($C24&lt;&gt;10000000,  CP$19&gt;=$DW24,    CP$19&lt;=($DX24+$DH$17)  ))   ,$DV24,  "")</f>
        <v/>
      </c>
      <c r="CQ24" s="111" t="str">
        <f aca="false">IF(    OR(   AND($C24=10000000,    $A$17&lt;=CQ$19,      ($A$17+$DH$17)&gt;CQ$19    ),   AND($C24&lt;&gt;10000000,  CQ$19&gt;=$DW24,    CQ$19&lt;=($DX24+$DH$17)  ))   ,$DV24,  "")</f>
        <v/>
      </c>
      <c r="CR24" s="111" t="str">
        <f aca="false">IF(    OR(   AND($C24=10000000,    $A$17&lt;=CR$19,      ($A$17+$DH$17)&gt;CR$19    ),   AND($C24&lt;&gt;10000000,  CR$19&gt;=$DW24,    CR$19&lt;=($DX24+$DH$17)  ))   ,$DV24,  "")</f>
        <v/>
      </c>
      <c r="CS24" s="111" t="str">
        <f aca="false">IF(    OR(   AND($C24=10000000,    $A$17&lt;=CS$19,      ($A$17+$DH$17)&gt;CS$19    ),   AND($C24&lt;&gt;10000000,  CS$19&gt;=$DW24,    CS$19&lt;=($DX24+$DH$17)  ))   ,$DV24,  "")</f>
        <v/>
      </c>
      <c r="CT24" s="111" t="str">
        <f aca="false">IF(    OR(   AND($C24=10000000,    $A$17&lt;=CT$19,      ($A$17+$DH$17)&gt;CT$19    ),   AND($C24&lt;&gt;10000000,  CT$19&gt;=$DW24,    CT$19&lt;=($DX24+$DH$17)  ))   ,$DV24,  "")</f>
        <v/>
      </c>
      <c r="CU24" s="111" t="str">
        <f aca="false">IF(    OR(   AND($C24=10000000,    $A$17&lt;=CU$19,      ($A$17+$DH$17)&gt;CU$19    ),   AND($C24&lt;&gt;10000000,  CU$19&gt;=$DW24,    CU$19&lt;=($DX24+$DH$17)  ))   ,$DV24,  "")</f>
        <v/>
      </c>
      <c r="CV24" s="111" t="str">
        <f aca="false">IF(    OR(   AND($C24=10000000,    $A$17&lt;=CV$19,      ($A$17+$DH$17)&gt;CV$19    ),   AND($C24&lt;&gt;10000000,  CV$19&gt;=$DW24,    CV$19&lt;=($DX24+$DH$17)  ))   ,$DV24,  "")</f>
        <v/>
      </c>
      <c r="CW24" s="111" t="str">
        <f aca="false">IF(    OR(   AND($C24=10000000,    $A$17&lt;=CW$19,      ($A$17+$DH$17)&gt;CW$19    ),   AND($C24&lt;&gt;10000000,  CW$19&gt;=$DW24,    CW$19&lt;=($DX24+$DH$17)  ))   ,$DV24,  "")</f>
        <v/>
      </c>
      <c r="CX24" s="111" t="str">
        <f aca="false">IF(    OR(   AND($C24=10000000,    $A$17&lt;=CX$19,      ($A$17+$DH$17)&gt;CX$19    ),   AND($C24&lt;&gt;10000000,  CX$19&gt;=$DW24,    CX$19&lt;=($DX24+$DH$17)  ))   ,$DV24,  "")</f>
        <v/>
      </c>
      <c r="CY24" s="111" t="str">
        <f aca="false">IF(    OR(   AND($C24=10000000,    $A$17&lt;=CY$19,      ($A$17+$DH$17)&gt;CY$19    ),   AND($C24&lt;&gt;10000000,  CY$19&gt;=$DW24,    CY$19&lt;=($DX24+$DH$17)  ))   ,$DV24,  "")</f>
        <v/>
      </c>
      <c r="CZ24" s="111" t="str">
        <f aca="false">IF(    OR(   AND($C24=10000000,    $A$17&lt;=CZ$19,      ($A$17+$DH$17)&gt;CZ$19    ),   AND($C24&lt;&gt;10000000,  CZ$19&gt;=$DW24,    CZ$19&lt;=($DX24+$DH$17)  ))   ,$DV24,  "")</f>
        <v/>
      </c>
      <c r="DA24" s="111" t="str">
        <f aca="false">IF(    OR(   AND($C24=10000000,    $A$17&lt;=DA$19,      ($A$17+$DH$17)&gt;DA$19    ),   AND($C24&lt;&gt;10000000,  DA$19&gt;=$DW24,    DA$19&lt;=($DX24+$DH$17)  ))   ,$DV24,  "")</f>
        <v/>
      </c>
      <c r="DB24" s="111" t="str">
        <f aca="false">IF(    OR(   AND($C24=10000000,    $A$17&lt;=DB$19,      ($A$17+$DH$17)&gt;DB$19    ),   AND($C24&lt;&gt;10000000,  DB$19&gt;=$DW24,    DB$19&lt;=($DX24+$DH$17)  ))   ,$DV24,  "")</f>
        <v/>
      </c>
      <c r="DC24" s="111" t="str">
        <f aca="false">IF(    OR(   AND($C24=10000000,    $A$17&lt;=DC$19,      ($A$17+$DH$17)&gt;DC$19    ),   AND($C24&lt;&gt;10000000,  DC$19&gt;=$DW24,    DC$19&lt;=($DX24+$DH$17)  ))   ,$DV24,  "")</f>
        <v/>
      </c>
      <c r="DD24" s="111" t="str">
        <f aca="false">IF(    OR(   AND($C24=10000000,    $A$17&lt;=DD$19,      ($A$17+$DH$17)&gt;DD$19    ),   AND($C24&lt;&gt;10000000,  DD$19&gt;=$DW24,    DD$19&lt;=($DX24+$DH$17)  ))   ,$DV24,  "")</f>
        <v/>
      </c>
      <c r="DE24" s="111" t="str">
        <f aca="false">IF(    OR(   AND($C24=10000000,    $A$17&lt;=DE$19,      ($A$17+$DH$17)&gt;DE$19    ),   AND($C24&lt;&gt;10000000,  DE$19&gt;=$DW24,    DE$19&lt;=($DX24+$DH$17)  ))   ,$DV24,  "")</f>
        <v/>
      </c>
      <c r="DF24" s="111" t="str">
        <f aca="false">IF(    OR(   AND($C24=10000000,    $A$17&lt;=DF$19,      ($A$17+$DH$17)&gt;DF$19    ),   AND($C24&lt;&gt;10000000,  DF$19&gt;=$DW24,    DF$19&lt;=($DX24+$DH$17)  ))   ,$DV24,  "")</f>
        <v/>
      </c>
      <c r="DG24" s="111" t="str">
        <f aca="false">IF(    OR(   AND($C24=10000000,    $A$17&lt;=DG$19,      ($A$17+$DH$17)&gt;DG$19    ),   AND($C24&lt;&gt;10000000,  DG$19&gt;=$DW24,    DG$19&lt;=($DX24+$DH$17)  ))   ,$DV24,  "")</f>
        <v/>
      </c>
      <c r="DH24" s="111" t="str">
        <f aca="false">IF(    OR(   AND($C24=10000000,    $A$17&lt;=DH$19,      ($A$17+$DH$17)&gt;DH$19    ),   AND($C24&lt;&gt;10000000,  DH$19&gt;=$DW24,    DH$19&lt;=($DX24+$DH$17)  ))   ,$DV24,  "")</f>
        <v/>
      </c>
      <c r="DI24" s="112" t="str">
        <f aca="false">IF(BB24="","",IF(ISERROR(FIND(CHAR(10),BB24,1)),BB24,LEFT(BB24,FIND(CHAR(10),BB24,1))))</f>
        <v>01-01-22: init</v>
      </c>
      <c r="DJ24" s="53" t="str">
        <f aca="false">IF(BB24="","",IFERROR(RIGHT(BB24,LEN(BB24)-FIND("@@@",SUBSTITUTE(BB24,CHAR(10),"@@@",LEN(BB24)-LEN(SUBSTITUTE(BB24,CHAR(10),""))),1)),BB24))</f>
        <v>01-01-22: init</v>
      </c>
      <c r="DK24" s="53" t="str">
        <f aca="false">IF(BC24="","",IFERROR(RIGHT(BC24,LEN(BC24)-FIND("@@@",SUBSTITUTE(BC24,CHAR(10),"@@@",LEN(BC24)-LEN(SUBSTITUTE(BC24,CHAR(10),""))),1)),BC24))</f>
        <v/>
      </c>
      <c r="DL24" s="113" t="n">
        <f aca="false">IFERROR(DATE(("20"&amp;MID(DI24,7,2))*1,MID(DI24,4,2)*1,MID(DI24,1,2)*1),"none")</f>
        <v>44562</v>
      </c>
      <c r="DM24" s="113" t="n">
        <f aca="false">IFERROR(DATE(("20"&amp;MID(DJ24,7,2))*1,MID(DJ24,4,2)*1,MID(DJ24,1,2)*1),"none")</f>
        <v>44562</v>
      </c>
      <c r="DN24" s="113" t="n">
        <f aca="false">IF(DL24&lt;&gt;"none",DL24,DATE(1900,1,1))</f>
        <v>44562</v>
      </c>
      <c r="DO24" s="113" t="n">
        <f aca="false">IF(DM24&lt;&gt;"none",DM24,DN24)</f>
        <v>44562</v>
      </c>
      <c r="DP24" s="114" t="n">
        <f aca="false">_xlfn.DAYS($A$17,DN24)</f>
        <v>772</v>
      </c>
      <c r="DQ24" s="114" t="n">
        <f aca="false">_xlfn.DAYS($A$17, DO24)</f>
        <v>772</v>
      </c>
      <c r="DR24" s="51" t="n">
        <f aca="false">IF(DO24&lt;&gt;"",INT(DQ24/7),0)</f>
        <v>110</v>
      </c>
      <c r="DS24" s="114" t="n">
        <f aca="false">IF(M24="Overdue",_xlfn.DAYS($A$17,AL24),0)</f>
        <v>258</v>
      </c>
      <c r="DT24" s="114" t="n">
        <f aca="false">IF(AH24="Project",_xlfn.DAYS(AL24,$A$17),0)</f>
        <v>0</v>
      </c>
      <c r="DU24" s="51" t="str">
        <f aca="false">IFERROR(INDEX(Static!$D$5:$E$11,MATCH(AH24,Static!$D$5:$D$11,0),2),"")</f>
        <v>Chg</v>
      </c>
      <c r="DV24" s="51" t="str">
        <f aca="false">IF(C24=10000000,"Red",IF(OR(C24=11000000,C24=12000000),"Black",IF(C24=11100000,"Dark",IF(AND(C24=12100000,M24="Completed"),"Green",IF(AND(C24=12100000,M24="Overdue"),"Red",IF(C24=12100000,"Dark",IF(AND(C24=12110000,M24="Overdue"),"LightRed",IF(AND(C24=12110000,M24="Completed"),"LightGreen",IF(OR(C24=11110000,C24=12110000),"Light",IF(AND(C24=12111000,M24="Overdue"),"SoftRed",IF(AND(C24=12111000,M24="Completed"),"SoftGreen",IF(OR(C24=11111000,C24=12111000),"Grey",""))))))))))))</f>
        <v>SoftRed</v>
      </c>
      <c r="DW24" s="49" t="n">
        <f aca="false">IF(AK24&lt;&gt;"",AK24,$BI$19)</f>
        <v>45020</v>
      </c>
      <c r="DX24" s="49" t="n">
        <f aca="false">IF(AL24&lt;&gt;"",AL24,$DH$19)</f>
        <v>45076</v>
      </c>
      <c r="DY24" s="79" t="s">
        <v>450</v>
      </c>
    </row>
    <row r="25" customFormat="false" ht="14.15" hidden="false" customHeight="true" outlineLevel="0" collapsed="false">
      <c r="A25" s="63"/>
      <c r="B25" s="53" t="str">
        <f aca="false">AH25</f>
        <v>Action</v>
      </c>
      <c r="C25" s="51" t="n">
        <f aca="false">IFERROR(INDEX(Static!$D$5:$F$11,MATCH(AH25,Static!$D$5:$D$11,0),3),90000000)</f>
        <v>12111000</v>
      </c>
      <c r="D25" s="51" t="str">
        <f aca="false">MID(C25,2,1)</f>
        <v>2</v>
      </c>
      <c r="E25" s="53" t="str">
        <f aca="false">AB25</f>
        <v>Action        Some Action for the StudySTE</v>
      </c>
      <c r="F25" s="51" t="n">
        <f aca="false">IF(B25="Venture",0,IF(OR(B25="Project",B25="Stream",B25="Action"),AK25,""))</f>
        <v>45066</v>
      </c>
      <c r="G25" s="51" t="str">
        <f aca="false">AS25</f>
        <v>Stream    Some Stream of the projectSTE</v>
      </c>
      <c r="H25" s="49" t="n">
        <f aca="false">IF(B25="Venture",0,IFERROR(INDEX($E$20:$F$55,MATCH(G25,$E$20:$E$55,0),2),""))</f>
        <v>45020</v>
      </c>
      <c r="I25" s="51" t="str">
        <f aca="false">IF(B25="Venture",0,IFERROR(INDEX($E$20:$G$55,MATCH(G25,$E$20:$E$55,0),3),""))</f>
        <v>ProjectSome Study Project for sub-cat 1STE</v>
      </c>
      <c r="J25" s="49" t="n">
        <f aca="false">IF(B25="Venture",0,IFERROR(INDEX($E$20:$H$55,MATCH(G25,$E$20:$E$55,0),4),""))</f>
        <v>45020</v>
      </c>
      <c r="K25" s="51" t="str">
        <f aca="false">IF(B25="Venture",0,IFERROR(INDEX($E$20:$G$55,MATCH(I25,$E$20:$E$55,0),3),""))</f>
        <v>VNT</v>
      </c>
      <c r="L25" s="51" t="str">
        <f aca="false">IF(M25="Completed","Completed","Ongoing")</f>
        <v>Ongoing</v>
      </c>
      <c r="M25" s="51" t="str">
        <f aca="false">IF(OR(AH25="Venture",AH25="Routine",AH25="Run Goal", AH25="Chg Goal", AH25=""),AH25,IF(AN25&lt;&gt;"","Completed",IF(AM25&lt;&gt;"","Pending",IF(AND(AL25&lt;&gt;"",$A$17&gt;AL25),"Overdue",IF($A$17&gt;AK25,"Started","Open")))))</f>
        <v>Overdue</v>
      </c>
      <c r="N25" s="50" t="n">
        <f aca="false">((LEN($BC25)-LEN(SUBSTITUTE($BC25,CHAR(10)&amp;". ","")))/3)+IF(LEFT(TRIM($BC25),2)=". ",1,0)</f>
        <v>0</v>
      </c>
      <c r="O25" s="50" t="n">
        <f aca="false">((LEN($BC25)-LEN(SUBSTITUTE($BC25,CHAR(10)&amp;"/ ","")))/3)+IF(LEFT(TRIM($BC25),2)="/ ",1,0)</f>
        <v>0</v>
      </c>
      <c r="P25" s="50" t="n">
        <f aca="false">((LEN($BC25)-LEN(SUBSTITUTE($BC25,CHAR(10)&amp;"~ ","")))/3)+IF(LEFT(TRIM($BC25),2)="~ ",1,0)</f>
        <v>0</v>
      </c>
      <c r="Q25" s="50" t="n">
        <f aca="false">((LEN($BC25)-LEN(SUBSTITUTE($BC25,CHAR(10)&amp;"! ","")))/3)+IF(LEFT(TRIM($BC25),2)="! ",1,0)</f>
        <v>0</v>
      </c>
      <c r="R25" s="50" t="n">
        <f aca="false">((LEN($BC25)-LEN(SUBSTITUTE($BC25,CHAR(10)&amp;"x ","")))/3)+IF(LEFT(TRIM($BC25),2)="x ",1,0)</f>
        <v>0</v>
      </c>
      <c r="S25" s="50" t="n">
        <f aca="false">SUM(N25:R25)</f>
        <v>0</v>
      </c>
      <c r="T25" s="115" t="n">
        <f aca="false">IF(OR($B25="Drill",$B25="Action"),$AO25,0)</f>
        <v>0</v>
      </c>
      <c r="U25" s="51" t="n">
        <f aca="false">IF(OR($B25="Sub",$B25="Stream"),$AO25+SUMIFS($AO$20:$AO$55,$G$20:$G$55,$E25),0)</f>
        <v>0</v>
      </c>
      <c r="V25" s="51" t="n">
        <f aca="false">IF(OR($B25="Routine",$B25="Project"),$AO25+SUMIFS($U$20:$U$55,$G$20:$G$55,$E25),0)</f>
        <v>0</v>
      </c>
      <c r="W25" s="51" t="n">
        <f aca="false">IF($B25="Venture",$AO25+SUMIFS($V$20:$V$55,$G$20:$G$55,$E25),0)</f>
        <v>0</v>
      </c>
      <c r="X25" s="115" t="n">
        <f aca="false">IF(OR($B25="Drill",$B25="Action"),$AP25,0)</f>
        <v>0</v>
      </c>
      <c r="Y25" s="51" t="n">
        <f aca="false">IF(OR($B25="Sub",$B25="Stream"),$AP25+SUMIFS($AP$20:$AP$55,$G$20:$G$55,$E25),0)</f>
        <v>0</v>
      </c>
      <c r="Z25" s="51" t="n">
        <f aca="false">IF(OR($B25="Routine",$B25="Project"),$AP25+SUMIFS($Y$20:$Y$55,$G$20:$G$55,$E25),0)</f>
        <v>0</v>
      </c>
      <c r="AA25" s="51" t="n">
        <f aca="false">IF($B25="Venture",$AP25+SUMIFS($Z$20:$Z$55,$G$20:$G$55,$E25),0)</f>
        <v>0</v>
      </c>
      <c r="AB25" s="51" t="str">
        <f aca="false">IF(OR(AH25="Venture", AH25="Run Goal", AH25="Chg Goal"),AI25,AH25&amp;AI25&amp;AR25)</f>
        <v>Action        Some Action for the StudySTE</v>
      </c>
      <c r="AC25" s="53" t="str">
        <f aca="false">"  -  "&amp;IF(C25=90000000,9&amp;"Z",D25&amp;AE25&amp;IF(OR(B25="Run Goal",B25="Chg Goal", B25="Venture"),"",IF(OR(B25="Routine",B25="Project"),F25&amp;E25,  IF(OR(B25="Sub",B25="Stream"),H25&amp;G25&amp;F25&amp;E25,IF(OR(B25="Drill",B25="Action"),J25&amp;I25&amp;H25&amp;G25&amp;F25&amp;E25,     "") )    )))</f>
        <v>  -  2N45020ProjectSome Study Project for sub-cat 1STE45020Stream    Some Stream of the projectSTE45066Action        Some Action for the StudySTE</v>
      </c>
      <c r="AD25" s="51" t="str">
        <f aca="false">IF(AND(AM25="",AN25=""),"Y","N")</f>
        <v>Y</v>
      </c>
      <c r="AE25" s="103" t="str">
        <f aca="false">IF(OR(AF25="Y",AF25="Y"),AF25,IF(DM25="none","N",IF(DM25&gt;($A$17-WEEKDAY($A$17,2)-(7*$AE$18)),"Y","N")))</f>
        <v>N</v>
      </c>
      <c r="AF25" s="104"/>
      <c r="AG25" s="105"/>
      <c r="AH25" s="79" t="s">
        <v>774</v>
      </c>
      <c r="AI25" s="56" t="s">
        <v>775</v>
      </c>
      <c r="AJ25" s="56" t="s">
        <v>776</v>
      </c>
      <c r="AK25" s="106" t="n">
        <v>45066</v>
      </c>
      <c r="AL25" s="106" t="n">
        <v>45107</v>
      </c>
      <c r="AM25" s="106"/>
      <c r="AN25" s="106"/>
      <c r="AO25" s="107"/>
      <c r="AP25" s="107"/>
      <c r="AQ25" s="79" t="s">
        <v>761</v>
      </c>
      <c r="AR25" s="79" t="s">
        <v>446</v>
      </c>
      <c r="AS25" s="79" t="s">
        <v>347</v>
      </c>
      <c r="AT25" s="79" t="s">
        <v>772</v>
      </c>
      <c r="AU25" s="79" t="s">
        <v>773</v>
      </c>
      <c r="AV25" s="79"/>
      <c r="AW25" s="79"/>
      <c r="AX25" s="79"/>
      <c r="AY25" s="79"/>
      <c r="AZ25" s="79"/>
      <c r="BA25" s="63"/>
      <c r="BB25" s="108" t="s">
        <v>762</v>
      </c>
      <c r="BC25" s="63"/>
      <c r="BD25" s="51" t="n">
        <f aca="false">SUM(N25:Q25)</f>
        <v>0</v>
      </c>
      <c r="BE25" s="59" t="n">
        <f aca="false">IF(AI25="",1,IF(S25&lt;&gt;0,(O25*0.5+R25)/S25,1))</f>
        <v>1</v>
      </c>
      <c r="BF25" s="81" t="n">
        <f aca="false">IF(AH25="","",IF(AH25="Venture",W25,IF(OR(AH25="Chg Goal",AH25="RUn Goal"),V25,IF(OR(AH25="ROutine",AH25="Project"),V25,IF(OR(AH25="Sub",AH25="Stream"),U25,IF(OR(AH25="Drill",AH25="Action"),T25,0))))))</f>
        <v>0</v>
      </c>
      <c r="BG25" s="81" t="n">
        <f aca="false">IF(AH25="","",IF(AH25="Venture",AA25,IF(OR(AH25="Chg Goal",AH25="RUn Goal"),Z25,IF(OR(AH25="ROutine",AH25="Project"),Z25,IF(OR(AH25="Sub",AH25="Stream"),Y25,IF(OR(AH25="Drill",AH25="Action"),X25,0))))))</f>
        <v>0</v>
      </c>
      <c r="BH25" s="109" t="n">
        <f aca="false">IF(AI25="","",IF(OR(BF25=0, BF25=""),0,BG25/BF25))</f>
        <v>0</v>
      </c>
      <c r="BI25" s="110" t="str">
        <f aca="false">IF(    OR(   AND($C25=10000000,    BI$19&gt;=$A$17,      BI$19 &lt;($A$17+$DH$17)   ),   AND($C25&lt;&gt;10000000,  BI$19&gt;=$DW25,    BI$19&lt;=($DX25+$DH$17)  ))   ,$DV25,  "")</f>
        <v/>
      </c>
      <c r="BJ25" s="111" t="str">
        <f aca="false">IF(    OR(   AND($C25=10000000,    $A$17&lt;=BJ$19,      ($A$17+$DH$17)&gt;BJ$19    ),   AND($C25&lt;&gt;10000000,  BJ$19&gt;=$DW25,    BJ$19&lt;=($DX25+$DH$17)  ))   ,$DV25,  "")</f>
        <v/>
      </c>
      <c r="BK25" s="111" t="str">
        <f aca="false">IF(    OR(   AND($C25=10000000,    $A$17&lt;=BK$19,      ($A$17+$DH$17)&gt;BK$19    ),   AND($C25&lt;&gt;10000000,  BK$19&gt;=$DW25,    BK$19&lt;=($DX25+$DH$17)  ))   ,$DV25,  "")</f>
        <v/>
      </c>
      <c r="BL25" s="111" t="str">
        <f aca="false">IF(    OR(   AND($C25=10000000,    $A$17&lt;=BL$19,      ($A$17+$DH$17)&gt;BL$19    ),   AND($C25&lt;&gt;10000000,  BL$19&gt;=$DW25,    BL$19&lt;=($DX25+$DH$17)  ))   ,$DV25,  "")</f>
        <v/>
      </c>
      <c r="BM25" s="111" t="str">
        <f aca="false">IF(    OR(   AND($C25=10000000,    $A$17&lt;=BM$19,      ($A$17+$DH$17)&gt;BM$19    ),   AND($C25&lt;&gt;10000000,  BM$19&gt;=$DW25,    BM$19&lt;=($DX25+$DH$17)  ))   ,$DV25,  "")</f>
        <v/>
      </c>
      <c r="BN25" s="111" t="str">
        <f aca="false">IF(    OR(   AND($C25=10000000,    $A$17&lt;=BN$19,      ($A$17+$DH$17)&gt;BN$19    ),   AND($C25&lt;&gt;10000000,  BN$19&gt;=$DW25,    BN$19&lt;=($DX25+$DH$17)  ))   ,$DV25,  "")</f>
        <v/>
      </c>
      <c r="BO25" s="111" t="str">
        <f aca="false">IF(    OR(   AND($C25=10000000,    $A$17&lt;=BO$19,      ($A$17+$DH$17)&gt;BO$19    ),   AND($C25&lt;&gt;10000000,  BO$19&gt;=$DW25,    BO$19&lt;=($DX25+$DH$17)  ))   ,$DV25,  "")</f>
        <v/>
      </c>
      <c r="BP25" s="111" t="str">
        <f aca="false">IF(    OR(   AND($C25=10000000,    $A$17&lt;=BP$19,      ($A$17+$DH$17)&gt;BP$19    ),   AND($C25&lt;&gt;10000000,  BP$19&gt;=$DW25,    BP$19&lt;=($DX25+$DH$17)  ))   ,$DV25,  "")</f>
        <v/>
      </c>
      <c r="BQ25" s="111" t="str">
        <f aca="false">IF(    OR(   AND($C25=10000000,    $A$17&lt;=BQ$19,      ($A$17+$DH$17)&gt;BQ$19    ),   AND($C25&lt;&gt;10000000,  BQ$19&gt;=$DW25,    BQ$19&lt;=($DX25+$DH$17)  ))   ,$DV25,  "")</f>
        <v/>
      </c>
      <c r="BR25" s="111" t="str">
        <f aca="false">IF(    OR(   AND($C25=10000000,    $A$17&lt;=BR$19,      ($A$17+$DH$17)&gt;BR$19    ),   AND($C25&lt;&gt;10000000,  BR$19&gt;=$DW25,    BR$19&lt;=($DX25+$DH$17)  ))   ,$DV25,  "")</f>
        <v/>
      </c>
      <c r="BS25" s="111" t="str">
        <f aca="false">IF(    OR(   AND($C25=10000000,    $A$17&lt;=BS$19,      ($A$17+$DH$17)&gt;BS$19    ),   AND($C25&lt;&gt;10000000,  BS$19&gt;=$DW25,    BS$19&lt;=($DX25+$DH$17)  ))   ,$DV25,  "")</f>
        <v>SoftRed</v>
      </c>
      <c r="BT25" s="111" t="str">
        <f aca="false">IF(    OR(   AND($C25=10000000,    $A$17&lt;=BT$19,      ($A$17+$DH$17)&gt;BT$19    ),   AND($C25&lt;&gt;10000000,  BT$19&gt;=$DW25,    BT$19&lt;=($DX25+$DH$17)  ))   ,$DV25,  "")</f>
        <v>SoftRed</v>
      </c>
      <c r="BU25" s="111" t="str">
        <f aca="false">IF(    OR(   AND($C25=10000000,    $A$17&lt;=BU$19,      ($A$17+$DH$17)&gt;BU$19    ),   AND($C25&lt;&gt;10000000,  BU$19&gt;=$DW25,    BU$19&lt;=($DX25+$DH$17)  ))   ,$DV25,  "")</f>
        <v>SoftRed</v>
      </c>
      <c r="BV25" s="111" t="str">
        <f aca="false">IF(    OR(   AND($C25=10000000,    $A$17&lt;=BV$19,      ($A$17+$DH$17)&gt;BV$19    ),   AND($C25&lt;&gt;10000000,  BV$19&gt;=$DW25,    BV$19&lt;=($DX25+$DH$17)  ))   ,$DV25,  "")</f>
        <v>SoftRed</v>
      </c>
      <c r="BW25" s="111" t="str">
        <f aca="false">IF(    OR(   AND($C25=10000000,    $A$17&lt;=BW$19,      ($A$17+$DH$17)&gt;BW$19    ),   AND($C25&lt;&gt;10000000,  BW$19&gt;=$DW25,    BW$19&lt;=($DX25+$DH$17)  ))   ,$DV25,  "")</f>
        <v/>
      </c>
      <c r="BX25" s="111" t="str">
        <f aca="false">IF(    OR(   AND($C25=10000000,    $A$17&lt;=BX$19,      ($A$17+$DH$17)&gt;BX$19    ),   AND($C25&lt;&gt;10000000,  BX$19&gt;=$DW25,    BX$19&lt;=($DX25+$DH$17)  ))   ,$DV25,  "")</f>
        <v/>
      </c>
      <c r="BY25" s="111" t="str">
        <f aca="false">IF(    OR(   AND($C25=10000000,    $A$17&lt;=BY$19,      ($A$17+$DH$17)&gt;BY$19    ),   AND($C25&lt;&gt;10000000,  BY$19&gt;=$DW25,    BY$19&lt;=($DX25+$DH$17)  ))   ,$DV25,  "")</f>
        <v/>
      </c>
      <c r="BZ25" s="111" t="str">
        <f aca="false">IF(    OR(   AND($C25=10000000,    $A$17&lt;=BZ$19,      ($A$17+$DH$17)&gt;BZ$19    ),   AND($C25&lt;&gt;10000000,  BZ$19&gt;=$DW25,    BZ$19&lt;=($DX25+$DH$17)  ))   ,$DV25,  "")</f>
        <v/>
      </c>
      <c r="CA25" s="111" t="str">
        <f aca="false">IF(    OR(   AND($C25=10000000,    $A$17&lt;=CA$19,      ($A$17+$DH$17)&gt;CA$19    ),   AND($C25&lt;&gt;10000000,  CA$19&gt;=$DW25,    CA$19&lt;=($DX25+$DH$17)  ))   ,$DV25,  "")</f>
        <v/>
      </c>
      <c r="CB25" s="111" t="str">
        <f aca="false">IF(    OR(   AND($C25=10000000,    $A$17&lt;=CB$19,      ($A$17+$DH$17)&gt;CB$19    ),   AND($C25&lt;&gt;10000000,  CB$19&gt;=$DW25,    CB$19&lt;=($DX25+$DH$17)  ))   ,$DV25,  "")</f>
        <v/>
      </c>
      <c r="CC25" s="111" t="str">
        <f aca="false">IF(    OR(   AND($C25=10000000,    $A$17&lt;=CC$19,      ($A$17+$DH$17)&gt;CC$19    ),   AND($C25&lt;&gt;10000000,  CC$19&gt;=$DW25,    CC$19&lt;=($DX25+$DH$17)  ))   ,$DV25,  "")</f>
        <v/>
      </c>
      <c r="CD25" s="111" t="str">
        <f aca="false">IF(    OR(   AND($C25=10000000,    $A$17&lt;=CD$19,      ($A$17+$DH$17)&gt;CD$19    ),   AND($C25&lt;&gt;10000000,  CD$19&gt;=$DW25,    CD$19&lt;=($DX25+$DH$17)  ))   ,$DV25,  "")</f>
        <v/>
      </c>
      <c r="CE25" s="111" t="str">
        <f aca="false">IF(    OR(   AND($C25=10000000,    $A$17&lt;=CE$19,      ($A$17+$DH$17)&gt;CE$19    ),   AND($C25&lt;&gt;10000000,  CE$19&gt;=$DW25,    CE$19&lt;=($DX25+$DH$17)  ))   ,$DV25,  "")</f>
        <v/>
      </c>
      <c r="CF25" s="111" t="str">
        <f aca="false">IF(    OR(   AND($C25=10000000,    $A$17&lt;=CF$19,      ($A$17+$DH$17)&gt;CF$19    ),   AND($C25&lt;&gt;10000000,  CF$19&gt;=$DW25,    CF$19&lt;=($DX25+$DH$17)  ))   ,$DV25,  "")</f>
        <v/>
      </c>
      <c r="CG25" s="111" t="str">
        <f aca="false">IF(    OR(   AND($C25=10000000,    $A$17&lt;=CG$19,      ($A$17+$DH$17)&gt;CG$19    ),   AND($C25&lt;&gt;10000000,  CG$19&gt;=$DW25,    CG$19&lt;=($DX25+$DH$17)  ))   ,$DV25,  "")</f>
        <v/>
      </c>
      <c r="CH25" s="111" t="str">
        <f aca="false">IF(    OR(   AND($C25=10000000,    $A$17&lt;=CH$19,      ($A$17+$DH$17)&gt;CH$19    ),   AND($C25&lt;&gt;10000000,  CH$19&gt;=$DW25,    CH$19&lt;=($DX25+$DH$17)  ))   ,$DV25,  "")</f>
        <v/>
      </c>
      <c r="CI25" s="111" t="str">
        <f aca="false">IF(    OR(   AND($C25=10000000,    $A$17&lt;=CI$19,      ($A$17+$DH$17)&gt;CI$19    ),   AND($C25&lt;&gt;10000000,  CI$19&gt;=$DW25,    CI$19&lt;=($DX25+$DH$17)  ))   ,$DV25,  "")</f>
        <v/>
      </c>
      <c r="CJ25" s="111" t="str">
        <f aca="false">IF(    OR(   AND($C25=10000000,    $A$17&lt;=CJ$19,      ($A$17+$DH$17)&gt;CJ$19    ),   AND($C25&lt;&gt;10000000,  CJ$19&gt;=$DW25,    CJ$19&lt;=($DX25+$DH$17)  ))   ,$DV25,  "")</f>
        <v/>
      </c>
      <c r="CK25" s="111" t="str">
        <f aca="false">IF(    OR(   AND($C25=10000000,    $A$17&lt;=CK$19,      ($A$17+$DH$17)&gt;CK$19    ),   AND($C25&lt;&gt;10000000,  CK$19&gt;=$DW25,    CK$19&lt;=($DX25+$DH$17)  ))   ,$DV25,  "")</f>
        <v/>
      </c>
      <c r="CL25" s="111" t="str">
        <f aca="false">IF(    OR(   AND($C25=10000000,    $A$17&lt;=CL$19,      ($A$17+$DH$17)&gt;CL$19    ),   AND($C25&lt;&gt;10000000,  CL$19&gt;=$DW25,    CL$19&lt;=($DX25+$DH$17)  ))   ,$DV25,  "")</f>
        <v/>
      </c>
      <c r="CM25" s="111" t="str">
        <f aca="false">IF(    OR(   AND($C25=10000000,    $A$17&lt;=CM$19,      ($A$17+$DH$17)&gt;CM$19    ),   AND($C25&lt;&gt;10000000,  CM$19&gt;=$DW25,    CM$19&lt;=($DX25+$DH$17)  ))   ,$DV25,  "")</f>
        <v/>
      </c>
      <c r="CN25" s="111" t="str">
        <f aca="false">IF(    OR(   AND($C25=10000000,    $A$17&lt;=CN$19,      ($A$17+$DH$17)&gt;CN$19    ),   AND($C25&lt;&gt;10000000,  CN$19&gt;=$DW25,    CN$19&lt;=($DX25+$DH$17)  ))   ,$DV25,  "")</f>
        <v/>
      </c>
      <c r="CO25" s="111" t="str">
        <f aca="false">IF(    OR(   AND($C25=10000000,    $A$17&lt;=CO$19,      ($A$17+$DH$17)&gt;CO$19    ),   AND($C25&lt;&gt;10000000,  CO$19&gt;=$DW25,    CO$19&lt;=($DX25+$DH$17)  ))   ,$DV25,  "")</f>
        <v/>
      </c>
      <c r="CP25" s="111" t="str">
        <f aca="false">IF(    OR(   AND($C25=10000000,    $A$17&lt;=CP$19,      ($A$17+$DH$17)&gt;CP$19    ),   AND($C25&lt;&gt;10000000,  CP$19&gt;=$DW25,    CP$19&lt;=($DX25+$DH$17)  ))   ,$DV25,  "")</f>
        <v/>
      </c>
      <c r="CQ25" s="111" t="str">
        <f aca="false">IF(    OR(   AND($C25=10000000,    $A$17&lt;=CQ$19,      ($A$17+$DH$17)&gt;CQ$19    ),   AND($C25&lt;&gt;10000000,  CQ$19&gt;=$DW25,    CQ$19&lt;=($DX25+$DH$17)  ))   ,$DV25,  "")</f>
        <v/>
      </c>
      <c r="CR25" s="111" t="str">
        <f aca="false">IF(    OR(   AND($C25=10000000,    $A$17&lt;=CR$19,      ($A$17+$DH$17)&gt;CR$19    ),   AND($C25&lt;&gt;10000000,  CR$19&gt;=$DW25,    CR$19&lt;=($DX25+$DH$17)  ))   ,$DV25,  "")</f>
        <v/>
      </c>
      <c r="CS25" s="111" t="str">
        <f aca="false">IF(    OR(   AND($C25=10000000,    $A$17&lt;=CS$19,      ($A$17+$DH$17)&gt;CS$19    ),   AND($C25&lt;&gt;10000000,  CS$19&gt;=$DW25,    CS$19&lt;=($DX25+$DH$17)  ))   ,$DV25,  "")</f>
        <v/>
      </c>
      <c r="CT25" s="111" t="str">
        <f aca="false">IF(    OR(   AND($C25=10000000,    $A$17&lt;=CT$19,      ($A$17+$DH$17)&gt;CT$19    ),   AND($C25&lt;&gt;10000000,  CT$19&gt;=$DW25,    CT$19&lt;=($DX25+$DH$17)  ))   ,$DV25,  "")</f>
        <v/>
      </c>
      <c r="CU25" s="111" t="str">
        <f aca="false">IF(    OR(   AND($C25=10000000,    $A$17&lt;=CU$19,      ($A$17+$DH$17)&gt;CU$19    ),   AND($C25&lt;&gt;10000000,  CU$19&gt;=$DW25,    CU$19&lt;=($DX25+$DH$17)  ))   ,$DV25,  "")</f>
        <v/>
      </c>
      <c r="CV25" s="111" t="str">
        <f aca="false">IF(    OR(   AND($C25=10000000,    $A$17&lt;=CV$19,      ($A$17+$DH$17)&gt;CV$19    ),   AND($C25&lt;&gt;10000000,  CV$19&gt;=$DW25,    CV$19&lt;=($DX25+$DH$17)  ))   ,$DV25,  "")</f>
        <v/>
      </c>
      <c r="CW25" s="111" t="str">
        <f aca="false">IF(    OR(   AND($C25=10000000,    $A$17&lt;=CW$19,      ($A$17+$DH$17)&gt;CW$19    ),   AND($C25&lt;&gt;10000000,  CW$19&gt;=$DW25,    CW$19&lt;=($DX25+$DH$17)  ))   ,$DV25,  "")</f>
        <v/>
      </c>
      <c r="CX25" s="111" t="str">
        <f aca="false">IF(    OR(   AND($C25=10000000,    $A$17&lt;=CX$19,      ($A$17+$DH$17)&gt;CX$19    ),   AND($C25&lt;&gt;10000000,  CX$19&gt;=$DW25,    CX$19&lt;=($DX25+$DH$17)  ))   ,$DV25,  "")</f>
        <v/>
      </c>
      <c r="CY25" s="111" t="str">
        <f aca="false">IF(    OR(   AND($C25=10000000,    $A$17&lt;=CY$19,      ($A$17+$DH$17)&gt;CY$19    ),   AND($C25&lt;&gt;10000000,  CY$19&gt;=$DW25,    CY$19&lt;=($DX25+$DH$17)  ))   ,$DV25,  "")</f>
        <v/>
      </c>
      <c r="CZ25" s="111" t="str">
        <f aca="false">IF(    OR(   AND($C25=10000000,    $A$17&lt;=CZ$19,      ($A$17+$DH$17)&gt;CZ$19    ),   AND($C25&lt;&gt;10000000,  CZ$19&gt;=$DW25,    CZ$19&lt;=($DX25+$DH$17)  ))   ,$DV25,  "")</f>
        <v/>
      </c>
      <c r="DA25" s="111" t="str">
        <f aca="false">IF(    OR(   AND($C25=10000000,    $A$17&lt;=DA$19,      ($A$17+$DH$17)&gt;DA$19    ),   AND($C25&lt;&gt;10000000,  DA$19&gt;=$DW25,    DA$19&lt;=($DX25+$DH$17)  ))   ,$DV25,  "")</f>
        <v/>
      </c>
      <c r="DB25" s="111" t="str">
        <f aca="false">IF(    OR(   AND($C25=10000000,    $A$17&lt;=DB$19,      ($A$17+$DH$17)&gt;DB$19    ),   AND($C25&lt;&gt;10000000,  DB$19&gt;=$DW25,    DB$19&lt;=($DX25+$DH$17)  ))   ,$DV25,  "")</f>
        <v/>
      </c>
      <c r="DC25" s="111" t="str">
        <f aca="false">IF(    OR(   AND($C25=10000000,    $A$17&lt;=DC$19,      ($A$17+$DH$17)&gt;DC$19    ),   AND($C25&lt;&gt;10000000,  DC$19&gt;=$DW25,    DC$19&lt;=($DX25+$DH$17)  ))   ,$DV25,  "")</f>
        <v/>
      </c>
      <c r="DD25" s="111" t="str">
        <f aca="false">IF(    OR(   AND($C25=10000000,    $A$17&lt;=DD$19,      ($A$17+$DH$17)&gt;DD$19    ),   AND($C25&lt;&gt;10000000,  DD$19&gt;=$DW25,    DD$19&lt;=($DX25+$DH$17)  ))   ,$DV25,  "")</f>
        <v/>
      </c>
      <c r="DE25" s="111" t="str">
        <f aca="false">IF(    OR(   AND($C25=10000000,    $A$17&lt;=DE$19,      ($A$17+$DH$17)&gt;DE$19    ),   AND($C25&lt;&gt;10000000,  DE$19&gt;=$DW25,    DE$19&lt;=($DX25+$DH$17)  ))   ,$DV25,  "")</f>
        <v/>
      </c>
      <c r="DF25" s="111" t="str">
        <f aca="false">IF(    OR(   AND($C25=10000000,    $A$17&lt;=DF$19,      ($A$17+$DH$17)&gt;DF$19    ),   AND($C25&lt;&gt;10000000,  DF$19&gt;=$DW25,    DF$19&lt;=($DX25+$DH$17)  ))   ,$DV25,  "")</f>
        <v/>
      </c>
      <c r="DG25" s="111" t="str">
        <f aca="false">IF(    OR(   AND($C25=10000000,    $A$17&lt;=DG$19,      ($A$17+$DH$17)&gt;DG$19    ),   AND($C25&lt;&gt;10000000,  DG$19&gt;=$DW25,    DG$19&lt;=($DX25+$DH$17)  ))   ,$DV25,  "")</f>
        <v/>
      </c>
      <c r="DH25" s="111" t="str">
        <f aca="false">IF(    OR(   AND($C25=10000000,    $A$17&lt;=DH$19,      ($A$17+$DH$17)&gt;DH$19    ),   AND($C25&lt;&gt;10000000,  DH$19&gt;=$DW25,    DH$19&lt;=($DX25+$DH$17)  ))   ,$DV25,  "")</f>
        <v/>
      </c>
      <c r="DI25" s="112" t="str">
        <f aca="false">IF(BB25="","",IF(ISERROR(FIND(CHAR(10),BB25,1)),BB25,LEFT(BB25,FIND(CHAR(10),BB25,1))))</f>
        <v>01-01-22: init</v>
      </c>
      <c r="DJ25" s="53" t="str">
        <f aca="false">IF(BB25="","",IFERROR(RIGHT(BB25,LEN(BB25)-FIND("@@@",SUBSTITUTE(BB25,CHAR(10),"@@@",LEN(BB25)-LEN(SUBSTITUTE(BB25,CHAR(10),""))),1)),BB25))</f>
        <v>01-01-22: init</v>
      </c>
      <c r="DK25" s="53" t="str">
        <f aca="false">IF(BC25="","",IFERROR(RIGHT(BC25,LEN(BC25)-FIND("@@@",SUBSTITUTE(BC25,CHAR(10),"@@@",LEN(BC25)-LEN(SUBSTITUTE(BC25,CHAR(10),""))),1)),BC25))</f>
        <v/>
      </c>
      <c r="DL25" s="113" t="n">
        <f aca="false">IFERROR(DATE(("20"&amp;MID(DI25,7,2))*1,MID(DI25,4,2)*1,MID(DI25,1,2)*1),"none")</f>
        <v>44562</v>
      </c>
      <c r="DM25" s="113" t="n">
        <f aca="false">IFERROR(DATE(("20"&amp;MID(DJ25,7,2))*1,MID(DJ25,4,2)*1,MID(DJ25,1,2)*1),"none")</f>
        <v>44562</v>
      </c>
      <c r="DN25" s="113" t="n">
        <f aca="false">IF(DL25&lt;&gt;"none",DL25,DATE(1900,1,1))</f>
        <v>44562</v>
      </c>
      <c r="DO25" s="113" t="n">
        <f aca="false">IF(DM25&lt;&gt;"none",DM25,DN25)</f>
        <v>44562</v>
      </c>
      <c r="DP25" s="114" t="n">
        <f aca="false">_xlfn.DAYS($A$17,DN25)</f>
        <v>772</v>
      </c>
      <c r="DQ25" s="114" t="n">
        <f aca="false">_xlfn.DAYS($A$17, DO25)</f>
        <v>772</v>
      </c>
      <c r="DR25" s="51" t="n">
        <f aca="false">IF(DO25&lt;&gt;"",INT(DQ25/7),0)</f>
        <v>110</v>
      </c>
      <c r="DS25" s="114" t="n">
        <f aca="false">IF(M25="Overdue",_xlfn.DAYS($A$17,AL25),0)</f>
        <v>227</v>
      </c>
      <c r="DT25" s="114" t="n">
        <f aca="false">IF(AH25="Project",_xlfn.DAYS(AL25,$A$17),0)</f>
        <v>0</v>
      </c>
      <c r="DU25" s="51" t="str">
        <f aca="false">IFERROR(INDEX(Static!$D$5:$E$11,MATCH(AH25,Static!$D$5:$D$11,0),2),"")</f>
        <v>Chg</v>
      </c>
      <c r="DV25" s="51" t="str">
        <f aca="false">IF(C25=10000000,"Red",IF(OR(C25=11000000,C25=12000000),"Black",IF(C25=11100000,"Dark",IF(AND(C25=12100000,M25="Completed"),"Green",IF(AND(C25=12100000,M25="Overdue"),"Red",IF(C25=12100000,"Dark",IF(AND(C25=12110000,M25="Overdue"),"LightRed",IF(AND(C25=12110000,M25="Completed"),"LightGreen",IF(OR(C25=11110000,C25=12110000),"Light",IF(AND(C25=12111000,M25="Overdue"),"SoftRed",IF(AND(C25=12111000,M25="Completed"),"SoftGreen",IF(OR(C25=11111000,C25=12111000),"Grey",""))))))))))))</f>
        <v>SoftRed</v>
      </c>
      <c r="DW25" s="49" t="n">
        <f aca="false">IF(AK25&lt;&gt;"",AK25,$BI$19)</f>
        <v>45066</v>
      </c>
      <c r="DX25" s="49" t="n">
        <f aca="false">IF(AL25&lt;&gt;"",AL25,$DH$19)</f>
        <v>45107</v>
      </c>
      <c r="DY25" s="79" t="s">
        <v>450</v>
      </c>
    </row>
    <row r="26" customFormat="false" ht="14.15" hidden="false" customHeight="true" outlineLevel="0" collapsed="false">
      <c r="A26" s="63"/>
      <c r="B26" s="53" t="str">
        <f aca="false">AH26</f>
        <v>Project</v>
      </c>
      <c r="C26" s="51" t="n">
        <f aca="false">IFERROR(INDEX(Static!$D$5:$F$11,MATCH(AH26,Static!$D$5:$D$11,0),3),90000000)</f>
        <v>12100000</v>
      </c>
      <c r="D26" s="51" t="str">
        <f aca="false">MID(C26,2,1)</f>
        <v>2</v>
      </c>
      <c r="E26" s="53" t="str">
        <f aca="false">AB26</f>
        <v>ProjectSome Study Project for sub-cat 2STE</v>
      </c>
      <c r="F26" s="51" t="n">
        <f aca="false">IF(B26="Venture",0,IF(OR(B26="Project",B26="Stream",B26="Action"),AK26,""))</f>
        <v>44927</v>
      </c>
      <c r="G26" s="51" t="str">
        <f aca="false">AS26</f>
        <v>VNT</v>
      </c>
      <c r="H26" s="51" t="n">
        <f aca="false">IF(B26="Venture",0,IFERROR(INDEX($E$20:$F$55,MATCH(G26,$E$20:$E$55,0),2),""))</f>
        <v>0</v>
      </c>
      <c r="I26" s="51" t="str">
        <f aca="false">IF(B26="Venture",0,IFERROR(INDEX($E$20:$G$55,MATCH(G26,$E$20:$E$55,0),3),""))</f>
        <v>VNT</v>
      </c>
      <c r="J26" s="51" t="n">
        <f aca="false">IF(B26="Venture",0,IFERROR(INDEX($E$20:$H$55,MATCH(G26,$E$20:$E$55,0),4),""))</f>
        <v>0</v>
      </c>
      <c r="K26" s="51" t="str">
        <f aca="false">IF(B26="Venture",0,IFERROR(INDEX($E$20:$G$55,MATCH(I26,$E$20:$E$55,0),3),""))</f>
        <v>VNT</v>
      </c>
      <c r="L26" s="51" t="str">
        <f aca="false">IF(M26="Completed","Completed","Ongoing")</f>
        <v>Ongoing</v>
      </c>
      <c r="M26" s="51" t="str">
        <f aca="false">IF(OR(AH26="Venture",AH26="Routine",AH26="Run Goal", AH26="Chg Goal", AH26=""),AH26,IF(AN26&lt;&gt;"","Completed",IF(AM26&lt;&gt;"","Pending",IF(AND(AL26&lt;&gt;"",$A$17&gt;AL26),"Overdue",IF($A$17&gt;AK26,"Started","Open")))))</f>
        <v>Overdue</v>
      </c>
      <c r="N26" s="50" t="n">
        <f aca="false">((LEN($BC26)-LEN(SUBSTITUTE($BC26,CHAR(10)&amp;". ","")))/3)+IF(LEFT(TRIM($BC26),2)=". ",1,0)</f>
        <v>0</v>
      </c>
      <c r="O26" s="50" t="n">
        <f aca="false">((LEN($BC26)-LEN(SUBSTITUTE($BC26,CHAR(10)&amp;"/ ","")))/3)+IF(LEFT(TRIM($BC26),2)="/ ",1,0)</f>
        <v>0</v>
      </c>
      <c r="P26" s="50" t="n">
        <f aca="false">((LEN($BC26)-LEN(SUBSTITUTE($BC26,CHAR(10)&amp;"~ ","")))/3)+IF(LEFT(TRIM($BC26),2)="~ ",1,0)</f>
        <v>0</v>
      </c>
      <c r="Q26" s="50" t="n">
        <f aca="false">((LEN($BC26)-LEN(SUBSTITUTE($BC26,CHAR(10)&amp;"! ","")))/3)+IF(LEFT(TRIM($BC26),2)="! ",1,0)</f>
        <v>0</v>
      </c>
      <c r="R26" s="50" t="n">
        <f aca="false">((LEN($BC26)-LEN(SUBSTITUTE($BC26,CHAR(10)&amp;"x ","")))/3)+IF(LEFT(TRIM($BC26),2)="x ",1,0)</f>
        <v>0</v>
      </c>
      <c r="S26" s="50" t="n">
        <f aca="false">SUM(N26:R26)</f>
        <v>0</v>
      </c>
      <c r="T26" s="51" t="n">
        <f aca="false">IF(OR($B26="Drill",$B26="Action"),$AO26,0)</f>
        <v>0</v>
      </c>
      <c r="U26" s="51" t="n">
        <f aca="false">IF(OR($B26="Sub",$B26="Stream"),$AO26+SUMIFS($AO$20:$AO$55,$G$20:$G$55,$E26),0)</f>
        <v>0</v>
      </c>
      <c r="V26" s="51" t="n">
        <f aca="false">IF(OR($B26="Routine",$B26="Project"),$AO26+SUMIFS($U$20:$U$55,$G$20:$G$55,$E26),0)</f>
        <v>3</v>
      </c>
      <c r="W26" s="51" t="n">
        <f aca="false">IF($B26="Venture",$AO26+SUMIFS($V$20:$V$55,$G$20:$G$55,$E26),0)</f>
        <v>0</v>
      </c>
      <c r="X26" s="51" t="n">
        <f aca="false">IF(OR($B26="Drill",$B26="Action"),$AP26,0)</f>
        <v>0</v>
      </c>
      <c r="Y26" s="51" t="n">
        <f aca="false">IF(OR($B26="Sub",$B26="Stream"),$AP26+SUMIFS($AP$20:$AP$55,$G$20:$G$55,$E26),0)</f>
        <v>0</v>
      </c>
      <c r="Z26" s="51" t="n">
        <f aca="false">IF(OR($B26="Routine",$B26="Project"),$AP26+SUMIFS($Y$20:$Y$55,$G$20:$G$55,$E26),0)</f>
        <v>2.5</v>
      </c>
      <c r="AA26" s="51" t="n">
        <f aca="false">IF($B26="Venture",$AP26+SUMIFS($Z$20:$Z$55,$G$20:$G$55,$E26),0)</f>
        <v>0</v>
      </c>
      <c r="AB26" s="51" t="str">
        <f aca="false">IF(OR(AH26="Venture", AH26="Run Goal", AH26="Chg Goal"),AI26,AH26&amp;AI26&amp;AR26)</f>
        <v>ProjectSome Study Project for sub-cat 2STE</v>
      </c>
      <c r="AC26" s="53" t="str">
        <f aca="false">"  -  "&amp;IF(C26=90000000,9&amp;"Z",D26&amp;AE26&amp;IF(OR(B26="Run Goal",B26="Chg Goal", B26="Venture"),"",IF(OR(B26="Routine",B26="Project"),F26&amp;E26,  IF(OR(B26="Sub",B26="Stream"),H26&amp;G26&amp;F26&amp;E26,IF(OR(B26="Drill",B26="Action"),J26&amp;I26&amp;H26&amp;G26&amp;F26&amp;E26,     "") )    )))</f>
        <v>  -  2N44927ProjectSome Study Project for sub-cat 2STE</v>
      </c>
      <c r="AD26" s="51" t="str">
        <f aca="false">IF(AND(AM26="",AN26=""),"Y","N")</f>
        <v>Y</v>
      </c>
      <c r="AE26" s="103" t="str">
        <f aca="false">IF(OR(AF26="Y",AF26="Y"),AF26,IF(DM26="none","N",IF(DM26&gt;($A$17-WEEKDAY($A$17,2)-(7*$AE$18)),"Y","N")))</f>
        <v>N</v>
      </c>
      <c r="AF26" s="104"/>
      <c r="AG26" s="105"/>
      <c r="AH26" s="79" t="s">
        <v>764</v>
      </c>
      <c r="AI26" s="56" t="s">
        <v>777</v>
      </c>
      <c r="AJ26" s="56" t="s">
        <v>766</v>
      </c>
      <c r="AK26" s="106" t="n">
        <v>44927</v>
      </c>
      <c r="AL26" s="106" t="n">
        <v>45291</v>
      </c>
      <c r="AM26" s="106"/>
      <c r="AN26" s="106"/>
      <c r="AO26" s="107"/>
      <c r="AP26" s="107"/>
      <c r="AQ26" s="79" t="s">
        <v>761</v>
      </c>
      <c r="AR26" s="79" t="s">
        <v>446</v>
      </c>
      <c r="AS26" s="79" t="s">
        <v>343</v>
      </c>
      <c r="AT26" s="79" t="s">
        <v>772</v>
      </c>
      <c r="AU26" s="79" t="s">
        <v>773</v>
      </c>
      <c r="AV26" s="79"/>
      <c r="AW26" s="79"/>
      <c r="AX26" s="79"/>
      <c r="AY26" s="79"/>
      <c r="AZ26" s="79"/>
      <c r="BA26" s="63"/>
      <c r="BB26" s="108" t="s">
        <v>762</v>
      </c>
      <c r="BC26" s="63"/>
      <c r="BD26" s="51" t="n">
        <f aca="false">SUM(N26:Q26)</f>
        <v>0</v>
      </c>
      <c r="BE26" s="59" t="n">
        <f aca="false">IF(AI26="",1,IF(S26&lt;&gt;0,(O26*0.5+R26)/S26,1))</f>
        <v>1</v>
      </c>
      <c r="BF26" s="81" t="n">
        <f aca="false">IF(AH26="","",IF(AH26="Venture",W26,IF(OR(AH26="Chg Goal",AH26="RUn Goal"),V26,IF(OR(AH26="ROutine",AH26="Project"),V26,IF(OR(AH26="Sub",AH26="Stream"),U26,IF(OR(AH26="Drill",AH26="Action"),T26,0))))))</f>
        <v>3</v>
      </c>
      <c r="BG26" s="81" t="n">
        <f aca="false">IF(AH26="","",IF(AH26="Venture",AA26,IF(OR(AH26="Chg Goal",AH26="RUn Goal"),Z26,IF(OR(AH26="ROutine",AH26="Project"),Z26,IF(OR(AH26="Sub",AH26="Stream"),Y26,IF(OR(AH26="Drill",AH26="Action"),X26,0))))))</f>
        <v>2.5</v>
      </c>
      <c r="BH26" s="109" t="n">
        <f aca="false">IF(AI26="","",IF(OR(BF26=0, BF26=""),0,BG26/BF26))</f>
        <v>0.833333333333333</v>
      </c>
      <c r="BI26" s="110" t="str">
        <f aca="false">IF(    OR(   AND($C26=10000000,    BI$19&gt;=$A$17,      BI$19 &lt;($A$17+$DH$17)   ),   AND($C26&lt;&gt;10000000,  BI$19&gt;=$DW26,    BI$19&lt;=($DX26+$DH$17)  ))   ,$DV26,  "")</f>
        <v>Red</v>
      </c>
      <c r="BJ26" s="111" t="str">
        <f aca="false">IF(    OR(   AND($C26=10000000,    $A$17&lt;=BJ$19,      ($A$17+$DH$17)&gt;BJ$19    ),   AND($C26&lt;&gt;10000000,  BJ$19&gt;=$DW26,    BJ$19&lt;=($DX26+$DH$17)  ))   ,$DV26,  "")</f>
        <v>Red</v>
      </c>
      <c r="BK26" s="111" t="str">
        <f aca="false">IF(    OR(   AND($C26=10000000,    $A$17&lt;=BK$19,      ($A$17+$DH$17)&gt;BK$19    ),   AND($C26&lt;&gt;10000000,  BK$19&gt;=$DW26,    BK$19&lt;=($DX26+$DH$17)  ))   ,$DV26,  "")</f>
        <v>Red</v>
      </c>
      <c r="BL26" s="111" t="str">
        <f aca="false">IF(    OR(   AND($C26=10000000,    $A$17&lt;=BL$19,      ($A$17+$DH$17)&gt;BL$19    ),   AND($C26&lt;&gt;10000000,  BL$19&gt;=$DW26,    BL$19&lt;=($DX26+$DH$17)  ))   ,$DV26,  "")</f>
        <v>Red</v>
      </c>
      <c r="BM26" s="111" t="str">
        <f aca="false">IF(    OR(   AND($C26=10000000,    $A$17&lt;=BM$19,      ($A$17+$DH$17)&gt;BM$19    ),   AND($C26&lt;&gt;10000000,  BM$19&gt;=$DW26,    BM$19&lt;=($DX26+$DH$17)  ))   ,$DV26,  "")</f>
        <v>Red</v>
      </c>
      <c r="BN26" s="111" t="str">
        <f aca="false">IF(    OR(   AND($C26=10000000,    $A$17&lt;=BN$19,      ($A$17+$DH$17)&gt;BN$19    ),   AND($C26&lt;&gt;10000000,  BN$19&gt;=$DW26,    BN$19&lt;=($DX26+$DH$17)  ))   ,$DV26,  "")</f>
        <v>Red</v>
      </c>
      <c r="BO26" s="111" t="str">
        <f aca="false">IF(    OR(   AND($C26=10000000,    $A$17&lt;=BO$19,      ($A$17+$DH$17)&gt;BO$19    ),   AND($C26&lt;&gt;10000000,  BO$19&gt;=$DW26,    BO$19&lt;=($DX26+$DH$17)  ))   ,$DV26,  "")</f>
        <v>Red</v>
      </c>
      <c r="BP26" s="111" t="str">
        <f aca="false">IF(    OR(   AND($C26=10000000,    $A$17&lt;=BP$19,      ($A$17+$DH$17)&gt;BP$19    ),   AND($C26&lt;&gt;10000000,  BP$19&gt;=$DW26,    BP$19&lt;=($DX26+$DH$17)  ))   ,$DV26,  "")</f>
        <v>Red</v>
      </c>
      <c r="BQ26" s="111" t="str">
        <f aca="false">IF(    OR(   AND($C26=10000000,    $A$17&lt;=BQ$19,      ($A$17+$DH$17)&gt;BQ$19    ),   AND($C26&lt;&gt;10000000,  BQ$19&gt;=$DW26,    BQ$19&lt;=($DX26+$DH$17)  ))   ,$DV26,  "")</f>
        <v>Red</v>
      </c>
      <c r="BR26" s="111" t="str">
        <f aca="false">IF(    OR(   AND($C26=10000000,    $A$17&lt;=BR$19,      ($A$17+$DH$17)&gt;BR$19    ),   AND($C26&lt;&gt;10000000,  BR$19&gt;=$DW26,    BR$19&lt;=($DX26+$DH$17)  ))   ,$DV26,  "")</f>
        <v>Red</v>
      </c>
      <c r="BS26" s="111" t="str">
        <f aca="false">IF(    OR(   AND($C26=10000000,    $A$17&lt;=BS$19,      ($A$17+$DH$17)&gt;BS$19    ),   AND($C26&lt;&gt;10000000,  BS$19&gt;=$DW26,    BS$19&lt;=($DX26+$DH$17)  ))   ,$DV26,  "")</f>
        <v>Red</v>
      </c>
      <c r="BT26" s="111" t="str">
        <f aca="false">IF(    OR(   AND($C26=10000000,    $A$17&lt;=BT$19,      ($A$17+$DH$17)&gt;BT$19    ),   AND($C26&lt;&gt;10000000,  BT$19&gt;=$DW26,    BT$19&lt;=($DX26+$DH$17)  ))   ,$DV26,  "")</f>
        <v>Red</v>
      </c>
      <c r="BU26" s="111" t="str">
        <f aca="false">IF(    OR(   AND($C26=10000000,    $A$17&lt;=BU$19,      ($A$17+$DH$17)&gt;BU$19    ),   AND($C26&lt;&gt;10000000,  BU$19&gt;=$DW26,    BU$19&lt;=($DX26+$DH$17)  ))   ,$DV26,  "")</f>
        <v>Red</v>
      </c>
      <c r="BV26" s="111" t="str">
        <f aca="false">IF(    OR(   AND($C26=10000000,    $A$17&lt;=BV$19,      ($A$17+$DH$17)&gt;BV$19    ),   AND($C26&lt;&gt;10000000,  BV$19&gt;=$DW26,    BV$19&lt;=($DX26+$DH$17)  ))   ,$DV26,  "")</f>
        <v>Red</v>
      </c>
      <c r="BW26" s="111" t="str">
        <f aca="false">IF(    OR(   AND($C26=10000000,    $A$17&lt;=BW$19,      ($A$17+$DH$17)&gt;BW$19    ),   AND($C26&lt;&gt;10000000,  BW$19&gt;=$DW26,    BW$19&lt;=($DX26+$DH$17)  ))   ,$DV26,  "")</f>
        <v>Red</v>
      </c>
      <c r="BX26" s="111" t="str">
        <f aca="false">IF(    OR(   AND($C26=10000000,    $A$17&lt;=BX$19,      ($A$17+$DH$17)&gt;BX$19    ),   AND($C26&lt;&gt;10000000,  BX$19&gt;=$DW26,    BX$19&lt;=($DX26+$DH$17)  ))   ,$DV26,  "")</f>
        <v>Red</v>
      </c>
      <c r="BY26" s="111" t="str">
        <f aca="false">IF(    OR(   AND($C26=10000000,    $A$17&lt;=BY$19,      ($A$17+$DH$17)&gt;BY$19    ),   AND($C26&lt;&gt;10000000,  BY$19&gt;=$DW26,    BY$19&lt;=($DX26+$DH$17)  ))   ,$DV26,  "")</f>
        <v>Red</v>
      </c>
      <c r="BZ26" s="111" t="str">
        <f aca="false">IF(    OR(   AND($C26=10000000,    $A$17&lt;=BZ$19,      ($A$17+$DH$17)&gt;BZ$19    ),   AND($C26&lt;&gt;10000000,  BZ$19&gt;=$DW26,    BZ$19&lt;=($DX26+$DH$17)  ))   ,$DV26,  "")</f>
        <v>Red</v>
      </c>
      <c r="CA26" s="111" t="str">
        <f aca="false">IF(    OR(   AND($C26=10000000,    $A$17&lt;=CA$19,      ($A$17+$DH$17)&gt;CA$19    ),   AND($C26&lt;&gt;10000000,  CA$19&gt;=$DW26,    CA$19&lt;=($DX26+$DH$17)  ))   ,$DV26,  "")</f>
        <v>Red</v>
      </c>
      <c r="CB26" s="111" t="str">
        <f aca="false">IF(    OR(   AND($C26=10000000,    $A$17&lt;=CB$19,      ($A$17+$DH$17)&gt;CB$19    ),   AND($C26&lt;&gt;10000000,  CB$19&gt;=$DW26,    CB$19&lt;=($DX26+$DH$17)  ))   ,$DV26,  "")</f>
        <v>Red</v>
      </c>
      <c r="CC26" s="111" t="str">
        <f aca="false">IF(    OR(   AND($C26=10000000,    $A$17&lt;=CC$19,      ($A$17+$DH$17)&gt;CC$19    ),   AND($C26&lt;&gt;10000000,  CC$19&gt;=$DW26,    CC$19&lt;=($DX26+$DH$17)  ))   ,$DV26,  "")</f>
        <v>Red</v>
      </c>
      <c r="CD26" s="111" t="str">
        <f aca="false">IF(    OR(   AND($C26=10000000,    $A$17&lt;=CD$19,      ($A$17+$DH$17)&gt;CD$19    ),   AND($C26&lt;&gt;10000000,  CD$19&gt;=$DW26,    CD$19&lt;=($DX26+$DH$17)  ))   ,$DV26,  "")</f>
        <v>Red</v>
      </c>
      <c r="CE26" s="111" t="str">
        <f aca="false">IF(    OR(   AND($C26=10000000,    $A$17&lt;=CE$19,      ($A$17+$DH$17)&gt;CE$19    ),   AND($C26&lt;&gt;10000000,  CE$19&gt;=$DW26,    CE$19&lt;=($DX26+$DH$17)  ))   ,$DV26,  "")</f>
        <v>Red</v>
      </c>
      <c r="CF26" s="111" t="str">
        <f aca="false">IF(    OR(   AND($C26=10000000,    $A$17&lt;=CF$19,      ($A$17+$DH$17)&gt;CF$19    ),   AND($C26&lt;&gt;10000000,  CF$19&gt;=$DW26,    CF$19&lt;=($DX26+$DH$17)  ))   ,$DV26,  "")</f>
        <v>Red</v>
      </c>
      <c r="CG26" s="111" t="str">
        <f aca="false">IF(    OR(   AND($C26=10000000,    $A$17&lt;=CG$19,      ($A$17+$DH$17)&gt;CG$19    ),   AND($C26&lt;&gt;10000000,  CG$19&gt;=$DW26,    CG$19&lt;=($DX26+$DH$17)  ))   ,$DV26,  "")</f>
        <v>Red</v>
      </c>
      <c r="CH26" s="111" t="str">
        <f aca="false">IF(    OR(   AND($C26=10000000,    $A$17&lt;=CH$19,      ($A$17+$DH$17)&gt;CH$19    ),   AND($C26&lt;&gt;10000000,  CH$19&gt;=$DW26,    CH$19&lt;=($DX26+$DH$17)  ))   ,$DV26,  "")</f>
        <v>Red</v>
      </c>
      <c r="CI26" s="111" t="str">
        <f aca="false">IF(    OR(   AND($C26=10000000,    $A$17&lt;=CI$19,      ($A$17+$DH$17)&gt;CI$19    ),   AND($C26&lt;&gt;10000000,  CI$19&gt;=$DW26,    CI$19&lt;=($DX26+$DH$17)  ))   ,$DV26,  "")</f>
        <v>Red</v>
      </c>
      <c r="CJ26" s="111" t="str">
        <f aca="false">IF(    OR(   AND($C26=10000000,    $A$17&lt;=CJ$19,      ($A$17+$DH$17)&gt;CJ$19    ),   AND($C26&lt;&gt;10000000,  CJ$19&gt;=$DW26,    CJ$19&lt;=($DX26+$DH$17)  ))   ,$DV26,  "")</f>
        <v/>
      </c>
      <c r="CK26" s="111" t="str">
        <f aca="false">IF(    OR(   AND($C26=10000000,    $A$17&lt;=CK$19,      ($A$17+$DH$17)&gt;CK$19    ),   AND($C26&lt;&gt;10000000,  CK$19&gt;=$DW26,    CK$19&lt;=($DX26+$DH$17)  ))   ,$DV26,  "")</f>
        <v/>
      </c>
      <c r="CL26" s="111" t="str">
        <f aca="false">IF(    OR(   AND($C26=10000000,    $A$17&lt;=CL$19,      ($A$17+$DH$17)&gt;CL$19    ),   AND($C26&lt;&gt;10000000,  CL$19&gt;=$DW26,    CL$19&lt;=($DX26+$DH$17)  ))   ,$DV26,  "")</f>
        <v/>
      </c>
      <c r="CM26" s="111" t="str">
        <f aca="false">IF(    OR(   AND($C26=10000000,    $A$17&lt;=CM$19,      ($A$17+$DH$17)&gt;CM$19    ),   AND($C26&lt;&gt;10000000,  CM$19&gt;=$DW26,    CM$19&lt;=($DX26+$DH$17)  ))   ,$DV26,  "")</f>
        <v/>
      </c>
      <c r="CN26" s="111" t="str">
        <f aca="false">IF(    OR(   AND($C26=10000000,    $A$17&lt;=CN$19,      ($A$17+$DH$17)&gt;CN$19    ),   AND($C26&lt;&gt;10000000,  CN$19&gt;=$DW26,    CN$19&lt;=($DX26+$DH$17)  ))   ,$DV26,  "")</f>
        <v/>
      </c>
      <c r="CO26" s="111" t="str">
        <f aca="false">IF(    OR(   AND($C26=10000000,    $A$17&lt;=CO$19,      ($A$17+$DH$17)&gt;CO$19    ),   AND($C26&lt;&gt;10000000,  CO$19&gt;=$DW26,    CO$19&lt;=($DX26+$DH$17)  ))   ,$DV26,  "")</f>
        <v/>
      </c>
      <c r="CP26" s="111" t="str">
        <f aca="false">IF(    OR(   AND($C26=10000000,    $A$17&lt;=CP$19,      ($A$17+$DH$17)&gt;CP$19    ),   AND($C26&lt;&gt;10000000,  CP$19&gt;=$DW26,    CP$19&lt;=($DX26+$DH$17)  ))   ,$DV26,  "")</f>
        <v/>
      </c>
      <c r="CQ26" s="111" t="str">
        <f aca="false">IF(    OR(   AND($C26=10000000,    $A$17&lt;=CQ$19,      ($A$17+$DH$17)&gt;CQ$19    ),   AND($C26&lt;&gt;10000000,  CQ$19&gt;=$DW26,    CQ$19&lt;=($DX26+$DH$17)  ))   ,$DV26,  "")</f>
        <v/>
      </c>
      <c r="CR26" s="111" t="str">
        <f aca="false">IF(    OR(   AND($C26=10000000,    $A$17&lt;=CR$19,      ($A$17+$DH$17)&gt;CR$19    ),   AND($C26&lt;&gt;10000000,  CR$19&gt;=$DW26,    CR$19&lt;=($DX26+$DH$17)  ))   ,$DV26,  "")</f>
        <v/>
      </c>
      <c r="CS26" s="111" t="str">
        <f aca="false">IF(    OR(   AND($C26=10000000,    $A$17&lt;=CS$19,      ($A$17+$DH$17)&gt;CS$19    ),   AND($C26&lt;&gt;10000000,  CS$19&gt;=$DW26,    CS$19&lt;=($DX26+$DH$17)  ))   ,$DV26,  "")</f>
        <v/>
      </c>
      <c r="CT26" s="111" t="str">
        <f aca="false">IF(    OR(   AND($C26=10000000,    $A$17&lt;=CT$19,      ($A$17+$DH$17)&gt;CT$19    ),   AND($C26&lt;&gt;10000000,  CT$19&gt;=$DW26,    CT$19&lt;=($DX26+$DH$17)  ))   ,$DV26,  "")</f>
        <v/>
      </c>
      <c r="CU26" s="111" t="str">
        <f aca="false">IF(    OR(   AND($C26=10000000,    $A$17&lt;=CU$19,      ($A$17+$DH$17)&gt;CU$19    ),   AND($C26&lt;&gt;10000000,  CU$19&gt;=$DW26,    CU$19&lt;=($DX26+$DH$17)  ))   ,$DV26,  "")</f>
        <v/>
      </c>
      <c r="CV26" s="111" t="str">
        <f aca="false">IF(    OR(   AND($C26=10000000,    $A$17&lt;=CV$19,      ($A$17+$DH$17)&gt;CV$19    ),   AND($C26&lt;&gt;10000000,  CV$19&gt;=$DW26,    CV$19&lt;=($DX26+$DH$17)  ))   ,$DV26,  "")</f>
        <v/>
      </c>
      <c r="CW26" s="111" t="str">
        <f aca="false">IF(    OR(   AND($C26=10000000,    $A$17&lt;=CW$19,      ($A$17+$DH$17)&gt;CW$19    ),   AND($C26&lt;&gt;10000000,  CW$19&gt;=$DW26,    CW$19&lt;=($DX26+$DH$17)  ))   ,$DV26,  "")</f>
        <v/>
      </c>
      <c r="CX26" s="111" t="str">
        <f aca="false">IF(    OR(   AND($C26=10000000,    $A$17&lt;=CX$19,      ($A$17+$DH$17)&gt;CX$19    ),   AND($C26&lt;&gt;10000000,  CX$19&gt;=$DW26,    CX$19&lt;=($DX26+$DH$17)  ))   ,$DV26,  "")</f>
        <v/>
      </c>
      <c r="CY26" s="111" t="str">
        <f aca="false">IF(    OR(   AND($C26=10000000,    $A$17&lt;=CY$19,      ($A$17+$DH$17)&gt;CY$19    ),   AND($C26&lt;&gt;10000000,  CY$19&gt;=$DW26,    CY$19&lt;=($DX26+$DH$17)  ))   ,$DV26,  "")</f>
        <v/>
      </c>
      <c r="CZ26" s="111" t="str">
        <f aca="false">IF(    OR(   AND($C26=10000000,    $A$17&lt;=CZ$19,      ($A$17+$DH$17)&gt;CZ$19    ),   AND($C26&lt;&gt;10000000,  CZ$19&gt;=$DW26,    CZ$19&lt;=($DX26+$DH$17)  ))   ,$DV26,  "")</f>
        <v/>
      </c>
      <c r="DA26" s="111" t="str">
        <f aca="false">IF(    OR(   AND($C26=10000000,    $A$17&lt;=DA$19,      ($A$17+$DH$17)&gt;DA$19    ),   AND($C26&lt;&gt;10000000,  DA$19&gt;=$DW26,    DA$19&lt;=($DX26+$DH$17)  ))   ,$DV26,  "")</f>
        <v/>
      </c>
      <c r="DB26" s="111" t="str">
        <f aca="false">IF(    OR(   AND($C26=10000000,    $A$17&lt;=DB$19,      ($A$17+$DH$17)&gt;DB$19    ),   AND($C26&lt;&gt;10000000,  DB$19&gt;=$DW26,    DB$19&lt;=($DX26+$DH$17)  ))   ,$DV26,  "")</f>
        <v/>
      </c>
      <c r="DC26" s="111" t="str">
        <f aca="false">IF(    OR(   AND($C26=10000000,    $A$17&lt;=DC$19,      ($A$17+$DH$17)&gt;DC$19    ),   AND($C26&lt;&gt;10000000,  DC$19&gt;=$DW26,    DC$19&lt;=($DX26+$DH$17)  ))   ,$DV26,  "")</f>
        <v/>
      </c>
      <c r="DD26" s="111" t="str">
        <f aca="false">IF(    OR(   AND($C26=10000000,    $A$17&lt;=DD$19,      ($A$17+$DH$17)&gt;DD$19    ),   AND($C26&lt;&gt;10000000,  DD$19&gt;=$DW26,    DD$19&lt;=($DX26+$DH$17)  ))   ,$DV26,  "")</f>
        <v/>
      </c>
      <c r="DE26" s="111" t="str">
        <f aca="false">IF(    OR(   AND($C26=10000000,    $A$17&lt;=DE$19,      ($A$17+$DH$17)&gt;DE$19    ),   AND($C26&lt;&gt;10000000,  DE$19&gt;=$DW26,    DE$19&lt;=($DX26+$DH$17)  ))   ,$DV26,  "")</f>
        <v/>
      </c>
      <c r="DF26" s="111" t="str">
        <f aca="false">IF(    OR(   AND($C26=10000000,    $A$17&lt;=DF$19,      ($A$17+$DH$17)&gt;DF$19    ),   AND($C26&lt;&gt;10000000,  DF$19&gt;=$DW26,    DF$19&lt;=($DX26+$DH$17)  ))   ,$DV26,  "")</f>
        <v/>
      </c>
      <c r="DG26" s="111" t="str">
        <f aca="false">IF(    OR(   AND($C26=10000000,    $A$17&lt;=DG$19,      ($A$17+$DH$17)&gt;DG$19    ),   AND($C26&lt;&gt;10000000,  DG$19&gt;=$DW26,    DG$19&lt;=($DX26+$DH$17)  ))   ,$DV26,  "")</f>
        <v/>
      </c>
      <c r="DH26" s="111" t="str">
        <f aca="false">IF(    OR(   AND($C26=10000000,    $A$17&lt;=DH$19,      ($A$17+$DH$17)&gt;DH$19    ),   AND($C26&lt;&gt;10000000,  DH$19&gt;=$DW26,    DH$19&lt;=($DX26+$DH$17)  ))   ,$DV26,  "")</f>
        <v/>
      </c>
      <c r="DI26" s="112" t="str">
        <f aca="false">IF(BB26="","",IF(ISERROR(FIND(CHAR(10),BB26,1)),BB26,LEFT(BB26,FIND(CHAR(10),BB26,1))))</f>
        <v>01-01-22: init</v>
      </c>
      <c r="DJ26" s="53" t="str">
        <f aca="false">IF(BB26="","",IFERROR(RIGHT(BB26,LEN(BB26)-FIND("@@@",SUBSTITUTE(BB26,CHAR(10),"@@@",LEN(BB26)-LEN(SUBSTITUTE(BB26,CHAR(10),""))),1)),BB26))</f>
        <v>01-01-22: init</v>
      </c>
      <c r="DK26" s="53" t="str">
        <f aca="false">IF(BC26="","",IFERROR(RIGHT(BC26,LEN(BC26)-FIND("@@@",SUBSTITUTE(BC26,CHAR(10),"@@@",LEN(BC26)-LEN(SUBSTITUTE(BC26,CHAR(10),""))),1)),BC26))</f>
        <v/>
      </c>
      <c r="DL26" s="113" t="n">
        <f aca="false">IFERROR(DATE(("20"&amp;MID(DI26,7,2))*1,MID(DI26,4,2)*1,MID(DI26,1,2)*1),"none")</f>
        <v>44562</v>
      </c>
      <c r="DM26" s="113" t="n">
        <f aca="false">IFERROR(DATE(("20"&amp;MID(DJ26,7,2))*1,MID(DJ26,4,2)*1,MID(DJ26,1,2)*1),"none")</f>
        <v>44562</v>
      </c>
      <c r="DN26" s="113" t="n">
        <f aca="false">IF(DL26&lt;&gt;"none",DL26,DATE(1900,1,1))</f>
        <v>44562</v>
      </c>
      <c r="DO26" s="113" t="n">
        <f aca="false">IF(DM26&lt;&gt;"none",DM26,DN26)</f>
        <v>44562</v>
      </c>
      <c r="DP26" s="114" t="n">
        <f aca="false">_xlfn.DAYS($A$17,DN26)</f>
        <v>772</v>
      </c>
      <c r="DQ26" s="114" t="n">
        <f aca="false">_xlfn.DAYS($A$17, DO26)</f>
        <v>772</v>
      </c>
      <c r="DR26" s="51" t="n">
        <f aca="false">IF(DO26&lt;&gt;"",INT(DQ26/7),0)</f>
        <v>110</v>
      </c>
      <c r="DS26" s="114" t="n">
        <f aca="false">IF(M26="Overdue",_xlfn.DAYS($A$17,AL26),0)</f>
        <v>43</v>
      </c>
      <c r="DT26" s="114" t="n">
        <f aca="false">IF(AH26="Project",_xlfn.DAYS(AL26,$A$17),0)</f>
        <v>-43</v>
      </c>
      <c r="DU26" s="51" t="str">
        <f aca="false">IFERROR(INDEX(Static!$D$5:$E$11,MATCH(AH26,Static!$D$5:$D$11,0),2),"")</f>
        <v>Chg</v>
      </c>
      <c r="DV26" s="51" t="str">
        <f aca="false">IF(C26=10000000,"Red",IF(OR(C26=11000000,C26=12000000),"Black",IF(C26=11100000,"Dark",IF(AND(C26=12100000,M26="Completed"),"Green",IF(AND(C26=12100000,M26="Overdue"),"Red",IF(C26=12100000,"Dark",IF(AND(C26=12110000,M26="Overdue"),"LightRed",IF(AND(C26=12110000,M26="Completed"),"LightGreen",IF(OR(C26=11110000,C26=12110000),"Light",IF(AND(C26=12111000,M26="Overdue"),"SoftRed",IF(AND(C26=12111000,M26="Completed"),"SoftGreen",IF(OR(C26=11111000,C26=12111000),"Grey",""))))))))))))</f>
        <v>Red</v>
      </c>
      <c r="DW26" s="49" t="n">
        <f aca="false">IF(AK26&lt;&gt;"",AK26,$BI$19)</f>
        <v>44927</v>
      </c>
      <c r="DX26" s="49" t="n">
        <f aca="false">IF(AL26&lt;&gt;"",AL26,$DH$19)</f>
        <v>45291</v>
      </c>
      <c r="DY26" s="79" t="s">
        <v>450</v>
      </c>
    </row>
    <row r="27" customFormat="false" ht="14.15" hidden="false" customHeight="true" outlineLevel="0" collapsed="false">
      <c r="A27" s="63"/>
      <c r="B27" s="53" t="str">
        <f aca="false">AH27</f>
        <v>Stream</v>
      </c>
      <c r="C27" s="51" t="n">
        <f aca="false">IFERROR(INDEX(Static!$D$5:$F$11,MATCH(AH27,Static!$D$5:$D$11,0),3),90000000)</f>
        <v>12110000</v>
      </c>
      <c r="D27" s="51" t="str">
        <f aca="false">MID(C27,2,1)</f>
        <v>2</v>
      </c>
      <c r="E27" s="53" t="str">
        <f aca="false">AB27</f>
        <v>Stream    Some Stream of the projectSTE</v>
      </c>
      <c r="F27" s="51" t="n">
        <f aca="false">IF(B27="Venture",0,IF(OR(B27="Project",B27="Stream",B27="Action"),AK27,""))</f>
        <v>45020</v>
      </c>
      <c r="G27" s="51" t="str">
        <f aca="false">AS27</f>
        <v>ProjectSome Study Project for sub-cat 2STE</v>
      </c>
      <c r="H27" s="49" t="n">
        <f aca="false">IF(B27="Venture",0,IFERROR(INDEX($E$20:$F$55,MATCH(G27,$E$20:$E$55,0),2),""))</f>
        <v>44927</v>
      </c>
      <c r="I27" s="51" t="str">
        <f aca="false">IF(B27="Venture",0,IFERROR(INDEX($E$20:$G$55,MATCH(G27,$E$20:$E$55,0),3),""))</f>
        <v>VNT</v>
      </c>
      <c r="J27" s="51" t="n">
        <f aca="false">IF(B27="Venture",0,IFERROR(INDEX($E$20:$H$55,MATCH(G27,$E$20:$E$55,0),4),""))</f>
        <v>0</v>
      </c>
      <c r="K27" s="51" t="str">
        <f aca="false">IF(B27="Venture",0,IFERROR(INDEX($E$20:$G$55,MATCH(I27,$E$20:$E$55,0),3),""))</f>
        <v>VNT</v>
      </c>
      <c r="L27" s="51" t="str">
        <f aca="false">IF(M27="Completed","Completed","Ongoing")</f>
        <v>Ongoing</v>
      </c>
      <c r="M27" s="51" t="str">
        <f aca="false">IF(OR(AH27="Venture",AH27="Routine",AH27="Run Goal", AH27="Chg Goal", AH27=""),AH27,IF(AN27&lt;&gt;"","Completed",IF(AM27&lt;&gt;"","Pending",IF(AND(AL27&lt;&gt;"",$A$17&gt;AL27),"Overdue",IF($A$17&gt;AK27,"Started","Open")))))</f>
        <v>Overdue</v>
      </c>
      <c r="N27" s="50" t="n">
        <f aca="false">((LEN($BC27)-LEN(SUBSTITUTE($BC27,CHAR(10)&amp;". ","")))/3)+IF(LEFT(TRIM($BC27),2)=". ",1,0)</f>
        <v>0</v>
      </c>
      <c r="O27" s="50" t="n">
        <f aca="false">((LEN($BC27)-LEN(SUBSTITUTE($BC27,CHAR(10)&amp;"/ ","")))/3)+IF(LEFT(TRIM($BC27),2)="/ ",1,0)</f>
        <v>0</v>
      </c>
      <c r="P27" s="50" t="n">
        <f aca="false">((LEN($BC27)-LEN(SUBSTITUTE($BC27,CHAR(10)&amp;"~ ","")))/3)+IF(LEFT(TRIM($BC27),2)="~ ",1,0)</f>
        <v>0</v>
      </c>
      <c r="Q27" s="50" t="n">
        <f aca="false">((LEN($BC27)-LEN(SUBSTITUTE($BC27,CHAR(10)&amp;"! ","")))/3)+IF(LEFT(TRIM($BC27),2)="! ",1,0)</f>
        <v>0</v>
      </c>
      <c r="R27" s="50" t="n">
        <f aca="false">((LEN($BC27)-LEN(SUBSTITUTE($BC27,CHAR(10)&amp;"x ","")))/3)+IF(LEFT(TRIM($BC27),2)="x ",1,0)</f>
        <v>0</v>
      </c>
      <c r="S27" s="50" t="n">
        <f aca="false">SUM(N27:R27)</f>
        <v>0</v>
      </c>
      <c r="T27" s="51" t="n">
        <f aca="false">IF(OR($B27="Drill",$B27="Action"),$AO27,0)</f>
        <v>0</v>
      </c>
      <c r="U27" s="51" t="n">
        <f aca="false">IF(OR($B27="Sub",$B27="Stream"),$AO27+SUMIFS($AO$20:$AO$55,$G$20:$G$55,$E27),0)</f>
        <v>3</v>
      </c>
      <c r="V27" s="51" t="n">
        <f aca="false">IF(OR($B27="Routine",$B27="Project"),$AO27+SUMIFS($U$20:$U$55,$G$20:$G$55,$E27),0)</f>
        <v>0</v>
      </c>
      <c r="W27" s="51" t="n">
        <f aca="false">IF($B27="Venture",$AO27+SUMIFS($V$20:$V$55,$G$20:$G$55,$E27),0)</f>
        <v>0</v>
      </c>
      <c r="X27" s="51" t="n">
        <f aca="false">IF(OR($B27="Drill",$B27="Action"),$AP27,0)</f>
        <v>0</v>
      </c>
      <c r="Y27" s="51" t="n">
        <f aca="false">IF(OR($B27="Sub",$B27="Stream"),$AP27+SUMIFS($AP$20:$AP$55,$G$20:$G$55,$E27),0)</f>
        <v>2.5</v>
      </c>
      <c r="Z27" s="51" t="n">
        <f aca="false">IF(OR($B27="Routine",$B27="Project"),$AP27+SUMIFS($Y$20:$Y$55,$G$20:$G$55,$E27),0)</f>
        <v>0</v>
      </c>
      <c r="AA27" s="51" t="n">
        <f aca="false">IF($B27="Venture",$AP27+SUMIFS($Z$20:$Z$55,$G$20:$G$55,$E27),0)</f>
        <v>0</v>
      </c>
      <c r="AB27" s="51" t="str">
        <f aca="false">IF(OR(AH27="Venture", AH27="Run Goal", AH27="Chg Goal"),AI27,AH27&amp;AI27&amp;AR27)</f>
        <v>Stream    Some Stream of the projectSTE</v>
      </c>
      <c r="AC27" s="53" t="str">
        <f aca="false">"  -  "&amp;IF(C27=90000000,9&amp;"Z",D27&amp;AE27&amp;IF(OR(B27="Run Goal",B27="Chg Goal", B27="Venture"),"",IF(OR(B27="Routine",B27="Project"),F27&amp;E27,  IF(OR(B27="Sub",B27="Stream"),H27&amp;G27&amp;F27&amp;E27,IF(OR(B27="Drill",B27="Action"),J27&amp;I27&amp;H27&amp;G27&amp;F27&amp;E27,     "") )    )))</f>
        <v>  -  2N44927ProjectSome Study Project for sub-cat 2STE45020Stream    Some Stream of the projectSTE</v>
      </c>
      <c r="AD27" s="51" t="str">
        <f aca="false">IF(AND(AM27="",AN27=""),"Y","N")</f>
        <v>Y</v>
      </c>
      <c r="AE27" s="103" t="str">
        <f aca="false">IF(OR(AF27="Y",AF27="Y"),AF27,IF(DM27="none","N",IF(DM27&gt;($A$17-WEEKDAY($A$17,2)-(7*$AE$18)),"Y","N")))</f>
        <v>N</v>
      </c>
      <c r="AF27" s="104"/>
      <c r="AG27" s="105"/>
      <c r="AH27" s="79" t="s">
        <v>769</v>
      </c>
      <c r="AI27" s="56" t="s">
        <v>770</v>
      </c>
      <c r="AJ27" s="56" t="s">
        <v>771</v>
      </c>
      <c r="AK27" s="106" t="n">
        <v>45020</v>
      </c>
      <c r="AL27" s="106" t="n">
        <v>45135</v>
      </c>
      <c r="AM27" s="106"/>
      <c r="AN27" s="106"/>
      <c r="AO27" s="107"/>
      <c r="AP27" s="107"/>
      <c r="AQ27" s="79" t="s">
        <v>761</v>
      </c>
      <c r="AR27" s="79" t="s">
        <v>446</v>
      </c>
      <c r="AS27" s="79" t="s">
        <v>346</v>
      </c>
      <c r="AT27" s="79" t="s">
        <v>772</v>
      </c>
      <c r="AU27" s="79" t="s">
        <v>773</v>
      </c>
      <c r="AV27" s="79"/>
      <c r="AW27" s="79"/>
      <c r="AX27" s="79"/>
      <c r="AY27" s="79"/>
      <c r="AZ27" s="79"/>
      <c r="BA27" s="63"/>
      <c r="BB27" s="108" t="s">
        <v>762</v>
      </c>
      <c r="BC27" s="63"/>
      <c r="BD27" s="51" t="n">
        <f aca="false">SUM(N27:Q27)</f>
        <v>0</v>
      </c>
      <c r="BE27" s="59" t="n">
        <f aca="false">IF(AI27="",1,IF(S27&lt;&gt;0,(O27*0.5+R27)/S27,1))</f>
        <v>1</v>
      </c>
      <c r="BF27" s="81" t="n">
        <f aca="false">IF(AH27="","",IF(AH27="Venture",W27,IF(OR(AH27="Chg Goal",AH27="RUn Goal"),V27,IF(OR(AH27="ROutine",AH27="Project"),V27,IF(OR(AH27="Sub",AH27="Stream"),U27,IF(OR(AH27="Drill",AH27="Action"),T27,0))))))</f>
        <v>3</v>
      </c>
      <c r="BG27" s="81" t="n">
        <f aca="false">IF(AH27="","",IF(AH27="Venture",AA27,IF(OR(AH27="Chg Goal",AH27="RUn Goal"),Z27,IF(OR(AH27="ROutine",AH27="Project"),Z27,IF(OR(AH27="Sub",AH27="Stream"),Y27,IF(OR(AH27="Drill",AH27="Action"),X27,0))))))</f>
        <v>2.5</v>
      </c>
      <c r="BH27" s="109" t="n">
        <f aca="false">IF(AI27="","",IF(OR(BF27=0, BF27=""),0,BG27/BF27))</f>
        <v>0.833333333333333</v>
      </c>
      <c r="BI27" s="110" t="str">
        <f aca="false">IF(    OR(   AND($C27=10000000,    BI$19&gt;=$A$17,      BI$19 &lt;($A$17+$DH$17)   ),   AND($C27&lt;&gt;10000000,  BI$19&gt;=$DW27,    BI$19&lt;=($DX27+$DH$17)  ))   ,$DV27,  "")</f>
        <v/>
      </c>
      <c r="BJ27" s="111" t="str">
        <f aca="false">IF(    OR(   AND($C27=10000000,    $A$17&lt;=BJ$19,      ($A$17+$DH$17)&gt;BJ$19    ),   AND($C27&lt;&gt;10000000,  BJ$19&gt;=$DW27,    BJ$19&lt;=($DX27+$DH$17)  ))   ,$DV27,  "")</f>
        <v/>
      </c>
      <c r="BK27" s="111" t="str">
        <f aca="false">IF(    OR(   AND($C27=10000000,    $A$17&lt;=BK$19,      ($A$17+$DH$17)&gt;BK$19    ),   AND($C27&lt;&gt;10000000,  BK$19&gt;=$DW27,    BK$19&lt;=($DX27+$DH$17)  ))   ,$DV27,  "")</f>
        <v/>
      </c>
      <c r="BL27" s="111" t="str">
        <f aca="false">IF(    OR(   AND($C27=10000000,    $A$17&lt;=BL$19,      ($A$17+$DH$17)&gt;BL$19    ),   AND($C27&lt;&gt;10000000,  BL$19&gt;=$DW27,    BL$19&lt;=($DX27+$DH$17)  ))   ,$DV27,  "")</f>
        <v/>
      </c>
      <c r="BM27" s="111" t="str">
        <f aca="false">IF(    OR(   AND($C27=10000000,    $A$17&lt;=BM$19,      ($A$17+$DH$17)&gt;BM$19    ),   AND($C27&lt;&gt;10000000,  BM$19&gt;=$DW27,    BM$19&lt;=($DX27+$DH$17)  ))   ,$DV27,  "")</f>
        <v/>
      </c>
      <c r="BN27" s="111" t="str">
        <f aca="false">IF(    OR(   AND($C27=10000000,    $A$17&lt;=BN$19,      ($A$17+$DH$17)&gt;BN$19    ),   AND($C27&lt;&gt;10000000,  BN$19&gt;=$DW27,    BN$19&lt;=($DX27+$DH$17)  ))   ,$DV27,  "")</f>
        <v/>
      </c>
      <c r="BO27" s="111" t="str">
        <f aca="false">IF(    OR(   AND($C27=10000000,    $A$17&lt;=BO$19,      ($A$17+$DH$17)&gt;BO$19    ),   AND($C27&lt;&gt;10000000,  BO$19&gt;=$DW27,    BO$19&lt;=($DX27+$DH$17)  ))   ,$DV27,  "")</f>
        <v/>
      </c>
      <c r="BP27" s="111" t="str">
        <f aca="false">IF(    OR(   AND($C27=10000000,    $A$17&lt;=BP$19,      ($A$17+$DH$17)&gt;BP$19    ),   AND($C27&lt;&gt;10000000,  BP$19&gt;=$DW27,    BP$19&lt;=($DX27+$DH$17)  ))   ,$DV27,  "")</f>
        <v>LightRed</v>
      </c>
      <c r="BQ27" s="111" t="str">
        <f aca="false">IF(    OR(   AND($C27=10000000,    $A$17&lt;=BQ$19,      ($A$17+$DH$17)&gt;BQ$19    ),   AND($C27&lt;&gt;10000000,  BQ$19&gt;=$DW27,    BQ$19&lt;=($DX27+$DH$17)  ))   ,$DV27,  "")</f>
        <v>LightRed</v>
      </c>
      <c r="BR27" s="111" t="str">
        <f aca="false">IF(    OR(   AND($C27=10000000,    $A$17&lt;=BR$19,      ($A$17+$DH$17)&gt;BR$19    ),   AND($C27&lt;&gt;10000000,  BR$19&gt;=$DW27,    BR$19&lt;=($DX27+$DH$17)  ))   ,$DV27,  "")</f>
        <v>LightRed</v>
      </c>
      <c r="BS27" s="111" t="str">
        <f aca="false">IF(    OR(   AND($C27=10000000,    $A$17&lt;=BS$19,      ($A$17+$DH$17)&gt;BS$19    ),   AND($C27&lt;&gt;10000000,  BS$19&gt;=$DW27,    BS$19&lt;=($DX27+$DH$17)  ))   ,$DV27,  "")</f>
        <v>LightRed</v>
      </c>
      <c r="BT27" s="111" t="str">
        <f aca="false">IF(    OR(   AND($C27=10000000,    $A$17&lt;=BT$19,      ($A$17+$DH$17)&gt;BT$19    ),   AND($C27&lt;&gt;10000000,  BT$19&gt;=$DW27,    BT$19&lt;=($DX27+$DH$17)  ))   ,$DV27,  "")</f>
        <v>LightRed</v>
      </c>
      <c r="BU27" s="111" t="str">
        <f aca="false">IF(    OR(   AND($C27=10000000,    $A$17&lt;=BU$19,      ($A$17+$DH$17)&gt;BU$19    ),   AND($C27&lt;&gt;10000000,  BU$19&gt;=$DW27,    BU$19&lt;=($DX27+$DH$17)  ))   ,$DV27,  "")</f>
        <v>LightRed</v>
      </c>
      <c r="BV27" s="111" t="str">
        <f aca="false">IF(    OR(   AND($C27=10000000,    $A$17&lt;=BV$19,      ($A$17+$DH$17)&gt;BV$19    ),   AND($C27&lt;&gt;10000000,  BV$19&gt;=$DW27,    BV$19&lt;=($DX27+$DH$17)  ))   ,$DV27,  "")</f>
        <v>LightRed</v>
      </c>
      <c r="BW27" s="111" t="str">
        <f aca="false">IF(    OR(   AND($C27=10000000,    $A$17&lt;=BW$19,      ($A$17+$DH$17)&gt;BW$19    ),   AND($C27&lt;&gt;10000000,  BW$19&gt;=$DW27,    BW$19&lt;=($DX27+$DH$17)  ))   ,$DV27,  "")</f>
        <v>LightRed</v>
      </c>
      <c r="BX27" s="111" t="str">
        <f aca="false">IF(    OR(   AND($C27=10000000,    $A$17&lt;=BX$19,      ($A$17+$DH$17)&gt;BX$19    ),   AND($C27&lt;&gt;10000000,  BX$19&gt;=$DW27,    BX$19&lt;=($DX27+$DH$17)  ))   ,$DV27,  "")</f>
        <v>LightRed</v>
      </c>
      <c r="BY27" s="111" t="str">
        <f aca="false">IF(    OR(   AND($C27=10000000,    $A$17&lt;=BY$19,      ($A$17+$DH$17)&gt;BY$19    ),   AND($C27&lt;&gt;10000000,  BY$19&gt;=$DW27,    BY$19&lt;=($DX27+$DH$17)  ))   ,$DV27,  "")</f>
        <v/>
      </c>
      <c r="BZ27" s="111" t="str">
        <f aca="false">IF(    OR(   AND($C27=10000000,    $A$17&lt;=BZ$19,      ($A$17+$DH$17)&gt;BZ$19    ),   AND($C27&lt;&gt;10000000,  BZ$19&gt;=$DW27,    BZ$19&lt;=($DX27+$DH$17)  ))   ,$DV27,  "")</f>
        <v/>
      </c>
      <c r="CA27" s="111" t="str">
        <f aca="false">IF(    OR(   AND($C27=10000000,    $A$17&lt;=CA$19,      ($A$17+$DH$17)&gt;CA$19    ),   AND($C27&lt;&gt;10000000,  CA$19&gt;=$DW27,    CA$19&lt;=($DX27+$DH$17)  ))   ,$DV27,  "")</f>
        <v/>
      </c>
      <c r="CB27" s="111" t="str">
        <f aca="false">IF(    OR(   AND($C27=10000000,    $A$17&lt;=CB$19,      ($A$17+$DH$17)&gt;CB$19    ),   AND($C27&lt;&gt;10000000,  CB$19&gt;=$DW27,    CB$19&lt;=($DX27+$DH$17)  ))   ,$DV27,  "")</f>
        <v/>
      </c>
      <c r="CC27" s="111" t="str">
        <f aca="false">IF(    OR(   AND($C27=10000000,    $A$17&lt;=CC$19,      ($A$17+$DH$17)&gt;CC$19    ),   AND($C27&lt;&gt;10000000,  CC$19&gt;=$DW27,    CC$19&lt;=($DX27+$DH$17)  ))   ,$DV27,  "")</f>
        <v/>
      </c>
      <c r="CD27" s="111" t="str">
        <f aca="false">IF(    OR(   AND($C27=10000000,    $A$17&lt;=CD$19,      ($A$17+$DH$17)&gt;CD$19    ),   AND($C27&lt;&gt;10000000,  CD$19&gt;=$DW27,    CD$19&lt;=($DX27+$DH$17)  ))   ,$DV27,  "")</f>
        <v/>
      </c>
      <c r="CE27" s="111" t="str">
        <f aca="false">IF(    OR(   AND($C27=10000000,    $A$17&lt;=CE$19,      ($A$17+$DH$17)&gt;CE$19    ),   AND($C27&lt;&gt;10000000,  CE$19&gt;=$DW27,    CE$19&lt;=($DX27+$DH$17)  ))   ,$DV27,  "")</f>
        <v/>
      </c>
      <c r="CF27" s="111" t="str">
        <f aca="false">IF(    OR(   AND($C27=10000000,    $A$17&lt;=CF$19,      ($A$17+$DH$17)&gt;CF$19    ),   AND($C27&lt;&gt;10000000,  CF$19&gt;=$DW27,    CF$19&lt;=($DX27+$DH$17)  ))   ,$DV27,  "")</f>
        <v/>
      </c>
      <c r="CG27" s="111" t="str">
        <f aca="false">IF(    OR(   AND($C27=10000000,    $A$17&lt;=CG$19,      ($A$17+$DH$17)&gt;CG$19    ),   AND($C27&lt;&gt;10000000,  CG$19&gt;=$DW27,    CG$19&lt;=($DX27+$DH$17)  ))   ,$DV27,  "")</f>
        <v/>
      </c>
      <c r="CH27" s="111" t="str">
        <f aca="false">IF(    OR(   AND($C27=10000000,    $A$17&lt;=CH$19,      ($A$17+$DH$17)&gt;CH$19    ),   AND($C27&lt;&gt;10000000,  CH$19&gt;=$DW27,    CH$19&lt;=($DX27+$DH$17)  ))   ,$DV27,  "")</f>
        <v/>
      </c>
      <c r="CI27" s="111" t="str">
        <f aca="false">IF(    OR(   AND($C27=10000000,    $A$17&lt;=CI$19,      ($A$17+$DH$17)&gt;CI$19    ),   AND($C27&lt;&gt;10000000,  CI$19&gt;=$DW27,    CI$19&lt;=($DX27+$DH$17)  ))   ,$DV27,  "")</f>
        <v/>
      </c>
      <c r="CJ27" s="111" t="str">
        <f aca="false">IF(    OR(   AND($C27=10000000,    $A$17&lt;=CJ$19,      ($A$17+$DH$17)&gt;CJ$19    ),   AND($C27&lt;&gt;10000000,  CJ$19&gt;=$DW27,    CJ$19&lt;=($DX27+$DH$17)  ))   ,$DV27,  "")</f>
        <v/>
      </c>
      <c r="CK27" s="111" t="str">
        <f aca="false">IF(    OR(   AND($C27=10000000,    $A$17&lt;=CK$19,      ($A$17+$DH$17)&gt;CK$19    ),   AND($C27&lt;&gt;10000000,  CK$19&gt;=$DW27,    CK$19&lt;=($DX27+$DH$17)  ))   ,$DV27,  "")</f>
        <v/>
      </c>
      <c r="CL27" s="111" t="str">
        <f aca="false">IF(    OR(   AND($C27=10000000,    $A$17&lt;=CL$19,      ($A$17+$DH$17)&gt;CL$19    ),   AND($C27&lt;&gt;10000000,  CL$19&gt;=$DW27,    CL$19&lt;=($DX27+$DH$17)  ))   ,$DV27,  "")</f>
        <v/>
      </c>
      <c r="CM27" s="111" t="str">
        <f aca="false">IF(    OR(   AND($C27=10000000,    $A$17&lt;=CM$19,      ($A$17+$DH$17)&gt;CM$19    ),   AND($C27&lt;&gt;10000000,  CM$19&gt;=$DW27,    CM$19&lt;=($DX27+$DH$17)  ))   ,$DV27,  "")</f>
        <v/>
      </c>
      <c r="CN27" s="111" t="str">
        <f aca="false">IF(    OR(   AND($C27=10000000,    $A$17&lt;=CN$19,      ($A$17+$DH$17)&gt;CN$19    ),   AND($C27&lt;&gt;10000000,  CN$19&gt;=$DW27,    CN$19&lt;=($DX27+$DH$17)  ))   ,$DV27,  "")</f>
        <v/>
      </c>
      <c r="CO27" s="111" t="str">
        <f aca="false">IF(    OR(   AND($C27=10000000,    $A$17&lt;=CO$19,      ($A$17+$DH$17)&gt;CO$19    ),   AND($C27&lt;&gt;10000000,  CO$19&gt;=$DW27,    CO$19&lt;=($DX27+$DH$17)  ))   ,$DV27,  "")</f>
        <v/>
      </c>
      <c r="CP27" s="111" t="str">
        <f aca="false">IF(    OR(   AND($C27=10000000,    $A$17&lt;=CP$19,      ($A$17+$DH$17)&gt;CP$19    ),   AND($C27&lt;&gt;10000000,  CP$19&gt;=$DW27,    CP$19&lt;=($DX27+$DH$17)  ))   ,$DV27,  "")</f>
        <v/>
      </c>
      <c r="CQ27" s="111" t="str">
        <f aca="false">IF(    OR(   AND($C27=10000000,    $A$17&lt;=CQ$19,      ($A$17+$DH$17)&gt;CQ$19    ),   AND($C27&lt;&gt;10000000,  CQ$19&gt;=$DW27,    CQ$19&lt;=($DX27+$DH$17)  ))   ,$DV27,  "")</f>
        <v/>
      </c>
      <c r="CR27" s="111" t="str">
        <f aca="false">IF(    OR(   AND($C27=10000000,    $A$17&lt;=CR$19,      ($A$17+$DH$17)&gt;CR$19    ),   AND($C27&lt;&gt;10000000,  CR$19&gt;=$DW27,    CR$19&lt;=($DX27+$DH$17)  ))   ,$DV27,  "")</f>
        <v/>
      </c>
      <c r="CS27" s="111" t="str">
        <f aca="false">IF(    OR(   AND($C27=10000000,    $A$17&lt;=CS$19,      ($A$17+$DH$17)&gt;CS$19    ),   AND($C27&lt;&gt;10000000,  CS$19&gt;=$DW27,    CS$19&lt;=($DX27+$DH$17)  ))   ,$DV27,  "")</f>
        <v/>
      </c>
      <c r="CT27" s="111" t="str">
        <f aca="false">IF(    OR(   AND($C27=10000000,    $A$17&lt;=CT$19,      ($A$17+$DH$17)&gt;CT$19    ),   AND($C27&lt;&gt;10000000,  CT$19&gt;=$DW27,    CT$19&lt;=($DX27+$DH$17)  ))   ,$DV27,  "")</f>
        <v/>
      </c>
      <c r="CU27" s="111" t="str">
        <f aca="false">IF(    OR(   AND($C27=10000000,    $A$17&lt;=CU$19,      ($A$17+$DH$17)&gt;CU$19    ),   AND($C27&lt;&gt;10000000,  CU$19&gt;=$DW27,    CU$19&lt;=($DX27+$DH$17)  ))   ,$DV27,  "")</f>
        <v/>
      </c>
      <c r="CV27" s="111" t="str">
        <f aca="false">IF(    OR(   AND($C27=10000000,    $A$17&lt;=CV$19,      ($A$17+$DH$17)&gt;CV$19    ),   AND($C27&lt;&gt;10000000,  CV$19&gt;=$DW27,    CV$19&lt;=($DX27+$DH$17)  ))   ,$DV27,  "")</f>
        <v/>
      </c>
      <c r="CW27" s="111" t="str">
        <f aca="false">IF(    OR(   AND($C27=10000000,    $A$17&lt;=CW$19,      ($A$17+$DH$17)&gt;CW$19    ),   AND($C27&lt;&gt;10000000,  CW$19&gt;=$DW27,    CW$19&lt;=($DX27+$DH$17)  ))   ,$DV27,  "")</f>
        <v/>
      </c>
      <c r="CX27" s="111" t="str">
        <f aca="false">IF(    OR(   AND($C27=10000000,    $A$17&lt;=CX$19,      ($A$17+$DH$17)&gt;CX$19    ),   AND($C27&lt;&gt;10000000,  CX$19&gt;=$DW27,    CX$19&lt;=($DX27+$DH$17)  ))   ,$DV27,  "")</f>
        <v/>
      </c>
      <c r="CY27" s="111" t="str">
        <f aca="false">IF(    OR(   AND($C27=10000000,    $A$17&lt;=CY$19,      ($A$17+$DH$17)&gt;CY$19    ),   AND($C27&lt;&gt;10000000,  CY$19&gt;=$DW27,    CY$19&lt;=($DX27+$DH$17)  ))   ,$DV27,  "")</f>
        <v/>
      </c>
      <c r="CZ27" s="111" t="str">
        <f aca="false">IF(    OR(   AND($C27=10000000,    $A$17&lt;=CZ$19,      ($A$17+$DH$17)&gt;CZ$19    ),   AND($C27&lt;&gt;10000000,  CZ$19&gt;=$DW27,    CZ$19&lt;=($DX27+$DH$17)  ))   ,$DV27,  "")</f>
        <v/>
      </c>
      <c r="DA27" s="111" t="str">
        <f aca="false">IF(    OR(   AND($C27=10000000,    $A$17&lt;=DA$19,      ($A$17+$DH$17)&gt;DA$19    ),   AND($C27&lt;&gt;10000000,  DA$19&gt;=$DW27,    DA$19&lt;=($DX27+$DH$17)  ))   ,$DV27,  "")</f>
        <v/>
      </c>
      <c r="DB27" s="111" t="str">
        <f aca="false">IF(    OR(   AND($C27=10000000,    $A$17&lt;=DB$19,      ($A$17+$DH$17)&gt;DB$19    ),   AND($C27&lt;&gt;10000000,  DB$19&gt;=$DW27,    DB$19&lt;=($DX27+$DH$17)  ))   ,$DV27,  "")</f>
        <v/>
      </c>
      <c r="DC27" s="111" t="str">
        <f aca="false">IF(    OR(   AND($C27=10000000,    $A$17&lt;=DC$19,      ($A$17+$DH$17)&gt;DC$19    ),   AND($C27&lt;&gt;10000000,  DC$19&gt;=$DW27,    DC$19&lt;=($DX27+$DH$17)  ))   ,$DV27,  "")</f>
        <v/>
      </c>
      <c r="DD27" s="111" t="str">
        <f aca="false">IF(    OR(   AND($C27=10000000,    $A$17&lt;=DD$19,      ($A$17+$DH$17)&gt;DD$19    ),   AND($C27&lt;&gt;10000000,  DD$19&gt;=$DW27,    DD$19&lt;=($DX27+$DH$17)  ))   ,$DV27,  "")</f>
        <v/>
      </c>
      <c r="DE27" s="111" t="str">
        <f aca="false">IF(    OR(   AND($C27=10000000,    $A$17&lt;=DE$19,      ($A$17+$DH$17)&gt;DE$19    ),   AND($C27&lt;&gt;10000000,  DE$19&gt;=$DW27,    DE$19&lt;=($DX27+$DH$17)  ))   ,$DV27,  "")</f>
        <v/>
      </c>
      <c r="DF27" s="111" t="str">
        <f aca="false">IF(    OR(   AND($C27=10000000,    $A$17&lt;=DF$19,      ($A$17+$DH$17)&gt;DF$19    ),   AND($C27&lt;&gt;10000000,  DF$19&gt;=$DW27,    DF$19&lt;=($DX27+$DH$17)  ))   ,$DV27,  "")</f>
        <v/>
      </c>
      <c r="DG27" s="111" t="str">
        <f aca="false">IF(    OR(   AND($C27=10000000,    $A$17&lt;=DG$19,      ($A$17+$DH$17)&gt;DG$19    ),   AND($C27&lt;&gt;10000000,  DG$19&gt;=$DW27,    DG$19&lt;=($DX27+$DH$17)  ))   ,$DV27,  "")</f>
        <v/>
      </c>
      <c r="DH27" s="111" t="str">
        <f aca="false">IF(    OR(   AND($C27=10000000,    $A$17&lt;=DH$19,      ($A$17+$DH$17)&gt;DH$19    ),   AND($C27&lt;&gt;10000000,  DH$19&gt;=$DW27,    DH$19&lt;=($DX27+$DH$17)  ))   ,$DV27,  "")</f>
        <v/>
      </c>
      <c r="DI27" s="112" t="str">
        <f aca="false">IF(BB27="","",IF(ISERROR(FIND(CHAR(10),BB27,1)),BB27,LEFT(BB27,FIND(CHAR(10),BB27,1))))</f>
        <v>01-01-22: init</v>
      </c>
      <c r="DJ27" s="53" t="str">
        <f aca="false">IF(BB27="","",IFERROR(RIGHT(BB27,LEN(BB27)-FIND("@@@",SUBSTITUTE(BB27,CHAR(10),"@@@",LEN(BB27)-LEN(SUBSTITUTE(BB27,CHAR(10),""))),1)),BB27))</f>
        <v>01-01-22: init</v>
      </c>
      <c r="DK27" s="53" t="str">
        <f aca="false">IF(BC27="","",IFERROR(RIGHT(BC27,LEN(BC27)-FIND("@@@",SUBSTITUTE(BC27,CHAR(10),"@@@",LEN(BC27)-LEN(SUBSTITUTE(BC27,CHAR(10),""))),1)),BC27))</f>
        <v/>
      </c>
      <c r="DL27" s="113" t="n">
        <f aca="false">IFERROR(DATE(("20"&amp;MID(DI27,7,2))*1,MID(DI27,4,2)*1,MID(DI27,1,2)*1),"none")</f>
        <v>44562</v>
      </c>
      <c r="DM27" s="113" t="n">
        <f aca="false">IFERROR(DATE(("20"&amp;MID(DJ27,7,2))*1,MID(DJ27,4,2)*1,MID(DJ27,1,2)*1),"none")</f>
        <v>44562</v>
      </c>
      <c r="DN27" s="113" t="n">
        <f aca="false">IF(DL27&lt;&gt;"none",DL27,DATE(1900,1,1))</f>
        <v>44562</v>
      </c>
      <c r="DO27" s="113" t="n">
        <f aca="false">IF(DM27&lt;&gt;"none",DM27,DN27)</f>
        <v>44562</v>
      </c>
      <c r="DP27" s="114" t="n">
        <f aca="false">_xlfn.DAYS($A$17,DN27)</f>
        <v>772</v>
      </c>
      <c r="DQ27" s="114" t="n">
        <f aca="false">_xlfn.DAYS($A$17, DO27)</f>
        <v>772</v>
      </c>
      <c r="DR27" s="51" t="n">
        <f aca="false">IF(DO27&lt;&gt;"",INT(DQ27/7),0)</f>
        <v>110</v>
      </c>
      <c r="DS27" s="114" t="n">
        <f aca="false">IF(M27="Overdue",_xlfn.DAYS($A$17,AL27),0)</f>
        <v>199</v>
      </c>
      <c r="DT27" s="114" t="n">
        <f aca="false">IF(AH27="Project",_xlfn.DAYS(AL27,$A$17),0)</f>
        <v>0</v>
      </c>
      <c r="DU27" s="51" t="str">
        <f aca="false">IFERROR(INDEX(Static!$D$5:$E$11,MATCH(AH27,Static!$D$5:$D$11,0),2),"")</f>
        <v>Chg</v>
      </c>
      <c r="DV27" s="51" t="str">
        <f aca="false">IF(C27=10000000,"Red",IF(OR(C27=11000000,C27=12000000),"Black",IF(C27=11100000,"Dark",IF(AND(C27=12100000,M27="Completed"),"Green",IF(AND(C27=12100000,M27="Overdue"),"Red",IF(C27=12100000,"Dark",IF(AND(C27=12110000,M27="Overdue"),"LightRed",IF(AND(C27=12110000,M27="Completed"),"LightGreen",IF(OR(C27=11110000,C27=12110000),"Light",IF(AND(C27=12111000,M27="Overdue"),"SoftRed",IF(AND(C27=12111000,M27="Completed"),"SoftGreen",IF(OR(C27=11111000,C27=12111000),"Grey",""))))))))))))</f>
        <v>LightRed</v>
      </c>
      <c r="DW27" s="49" t="n">
        <f aca="false">IF(AK27&lt;&gt;"",AK27,$BI$19)</f>
        <v>45020</v>
      </c>
      <c r="DX27" s="49" t="n">
        <f aca="false">IF(AL27&lt;&gt;"",AL27,$DH$19)</f>
        <v>45135</v>
      </c>
      <c r="DY27" s="79" t="s">
        <v>450</v>
      </c>
    </row>
    <row r="28" customFormat="false" ht="14.15" hidden="false" customHeight="true" outlineLevel="0" collapsed="false">
      <c r="A28" s="63"/>
      <c r="B28" s="53" t="n">
        <f aca="false">AH28</f>
        <v>0</v>
      </c>
      <c r="C28" s="51" t="n">
        <f aca="false">IFERROR(INDEX(Static!$D$5:$F$11,MATCH(AH28,Static!$D$5:$D$11,0),3),90000000)</f>
        <v>90000000</v>
      </c>
      <c r="D28" s="51" t="str">
        <f aca="false">MID(C28,2,1)</f>
        <v>0</v>
      </c>
      <c r="E28" s="53" t="str">
        <f aca="false">AB28</f>
        <v/>
      </c>
      <c r="F28" s="51" t="str">
        <f aca="false">IF(B28="Venture",0,IF(OR(B28="Project",B28="Stream",B28="Action"),AK28,""))</f>
        <v/>
      </c>
      <c r="G28" s="51" t="n">
        <f aca="false">AS28</f>
        <v>0</v>
      </c>
      <c r="H28" s="51" t="str">
        <f aca="false">IF(B28="Venture",0,IFERROR(INDEX($E$20:$F$55,MATCH(G28,$E$20:$E$55,0),2),""))</f>
        <v/>
      </c>
      <c r="I28" s="51" t="str">
        <f aca="false">IF(B28="Venture",0,IFERROR(INDEX($E$20:$G$55,MATCH(G28,$E$20:$E$55,0),3),""))</f>
        <v/>
      </c>
      <c r="J28" s="51" t="str">
        <f aca="false">IF(B28="Venture",0,IFERROR(INDEX($E$20:$H$55,MATCH(G28,$E$20:$E$55,0),4),""))</f>
        <v/>
      </c>
      <c r="K28" s="51" t="n">
        <f aca="false">IF(B28="Venture",0,IFERROR(INDEX($E$20:$G$55,MATCH(I28,$E$20:$E$55,0),3),""))</f>
        <v>0</v>
      </c>
      <c r="L28" s="51" t="str">
        <f aca="false">IF(M28="Completed","Completed","Ongoing")</f>
        <v>Ongoing</v>
      </c>
      <c r="M28" s="51" t="n">
        <f aca="false">IF(OR(AH28="Venture",AH28="Routine",AH28="Run Goal", AH28="Chg Goal", AH28=""),AH28,IF(AN28&lt;&gt;"","Completed",IF(AM28&lt;&gt;"","Pending",IF(AND(AL28&lt;&gt;"",$A$17&gt;AL28),"Overdue",IF($A$17&gt;AK28,"Started","Open")))))</f>
        <v>0</v>
      </c>
      <c r="N28" s="50" t="n">
        <f aca="false">((LEN($BC28)-LEN(SUBSTITUTE($BC28,CHAR(10)&amp;". ","")))/3)+IF(LEFT(TRIM($BC28),2)=". ",1,0)</f>
        <v>0</v>
      </c>
      <c r="O28" s="50" t="n">
        <f aca="false">((LEN($BC28)-LEN(SUBSTITUTE($BC28,CHAR(10)&amp;"/ ","")))/3)+IF(LEFT(TRIM($BC28),2)="/ ",1,0)</f>
        <v>0</v>
      </c>
      <c r="P28" s="50" t="n">
        <f aca="false">((LEN($BC28)-LEN(SUBSTITUTE($BC28,CHAR(10)&amp;"~ ","")))/3)+IF(LEFT(TRIM($BC28),2)="~ ",1,0)</f>
        <v>0</v>
      </c>
      <c r="Q28" s="50" t="n">
        <f aca="false">((LEN($BC28)-LEN(SUBSTITUTE($BC28,CHAR(10)&amp;"! ","")))/3)+IF(LEFT(TRIM($BC28),2)="! ",1,0)</f>
        <v>0</v>
      </c>
      <c r="R28" s="50" t="n">
        <f aca="false">((LEN($BC28)-LEN(SUBSTITUTE($BC28,CHAR(10)&amp;"x ","")))/3)+IF(LEFT(TRIM($BC28),2)="x ",1,0)</f>
        <v>0</v>
      </c>
      <c r="S28" s="50" t="n">
        <f aca="false">SUM(N28:R28)</f>
        <v>0</v>
      </c>
      <c r="T28" s="51" t="n">
        <f aca="false">IF(OR($B28="Drill",$B28="Action"),$AO28,0)</f>
        <v>0</v>
      </c>
      <c r="U28" s="51" t="n">
        <f aca="false">IF(OR($B28="Sub",$B28="Stream"),$AO28+SUMIFS($AO$20:$AO$55,$G$20:$G$55,$E28),0)</f>
        <v>0</v>
      </c>
      <c r="V28" s="51" t="n">
        <f aca="false">IF(OR($B28="Routine",$B28="Project"),$AO28+SUMIFS($U$20:$U$55,$G$20:$G$55,$E28),0)</f>
        <v>0</v>
      </c>
      <c r="W28" s="51" t="n">
        <f aca="false">IF($B28="Venture",$AO28+SUMIFS($V$20:$V$55,$G$20:$G$55,$E28),0)</f>
        <v>0</v>
      </c>
      <c r="X28" s="51" t="n">
        <f aca="false">IF(OR($B28="Drill",$B28="Action"),$AP28,0)</f>
        <v>0</v>
      </c>
      <c r="Y28" s="51" t="n">
        <f aca="false">IF(OR($B28="Sub",$B28="Stream"),$AP28+SUMIFS($AP$20:$AP$55,$G$20:$G$55,$E28),0)</f>
        <v>0</v>
      </c>
      <c r="Z28" s="51" t="n">
        <f aca="false">IF(OR($B28="Routine",$B28="Project"),$AP28+SUMIFS($Y$20:$Y$55,$G$20:$G$55,$E28),0)</f>
        <v>0</v>
      </c>
      <c r="AA28" s="51" t="n">
        <f aca="false">IF($B28="Venture",$AP28+SUMIFS($Z$20:$Z$55,$G$20:$G$55,$E28),0)</f>
        <v>0</v>
      </c>
      <c r="AB28" s="51" t="str">
        <f aca="false">IF(OR(AH28="Venture", AH28="Run Goal", AH28="Chg Goal"),AI28,AH28&amp;AI28&amp;AR28)</f>
        <v/>
      </c>
      <c r="AC28" s="53" t="str">
        <f aca="false">"  -  "&amp;IF(C28=90000000,9&amp;"Z",D28&amp;AE28&amp;IF(OR(B28="Run Goal",B28="Chg Goal", B28="Venture"),"",IF(OR(B28="Routine",B28="Project"),F28&amp;E28,  IF(OR(B28="Sub",B28="Stream"),H28&amp;G28&amp;F28&amp;E28,IF(OR(B28="Drill",B28="Action"),J28&amp;I28&amp;H28&amp;G28&amp;F28&amp;E28,     "") )    )))</f>
        <v>  -  9Z</v>
      </c>
      <c r="AD28" s="51" t="str">
        <f aca="false">IF(AND(AM28="",AN28=""),"Y","N")</f>
        <v>Y</v>
      </c>
      <c r="AE28" s="103" t="str">
        <f aca="false">IF(OR(AF28="Y",AF28="Y"),AF28,IF(DM28="none","N",IF(DM28&gt;($A$17-WEEKDAY($A$17,2)-(7*$AE$18)),"Y","N")))</f>
        <v>N</v>
      </c>
      <c r="AF28" s="104"/>
      <c r="AG28" s="105"/>
      <c r="AH28" s="79"/>
      <c r="AI28" s="56"/>
      <c r="AJ28" s="56"/>
      <c r="AK28" s="106"/>
      <c r="AL28" s="106"/>
      <c r="AM28" s="106"/>
      <c r="AN28" s="106"/>
      <c r="AO28" s="107"/>
      <c r="AP28" s="107"/>
      <c r="AQ28" s="79"/>
      <c r="AR28" s="79"/>
      <c r="AS28" s="79"/>
      <c r="AT28" s="79" t="s">
        <v>778</v>
      </c>
      <c r="AU28" s="79"/>
      <c r="AV28" s="79"/>
      <c r="AW28" s="79"/>
      <c r="AX28" s="79"/>
      <c r="AY28" s="79"/>
      <c r="AZ28" s="79"/>
      <c r="BA28" s="63"/>
      <c r="BB28" s="108"/>
      <c r="BC28" s="63"/>
      <c r="BD28" s="51" t="n">
        <f aca="false">SUM(N28:Q28)</f>
        <v>0</v>
      </c>
      <c r="BE28" s="59" t="n">
        <f aca="false">IF(AI28="",1,IF(S28&lt;&gt;0,(O28*0.5+R28)/S28,1))</f>
        <v>1</v>
      </c>
      <c r="BF28" s="81" t="str">
        <f aca="false">IF(AH28="","",IF(AH28="Venture",W28,IF(OR(AH28="Chg Goal",AH28="RUn Goal"),V28,IF(OR(AH28="ROutine",AH28="Project"),V28,IF(OR(AH28="Sub",AH28="Stream"),U28,IF(OR(AH28="Drill",AH28="Action"),T28,0))))))</f>
        <v/>
      </c>
      <c r="BG28" s="81" t="str">
        <f aca="false">IF(AH28="","",IF(AH28="Venture",AA28,IF(OR(AH28="Chg Goal",AH28="RUn Goal"),Z28,IF(OR(AH28="ROutine",AH28="Project"),Z28,IF(OR(AH28="Sub",AH28="Stream"),Y28,IF(OR(AH28="Drill",AH28="Action"),X28,0))))))</f>
        <v/>
      </c>
      <c r="BH28" s="109" t="str">
        <f aca="false">IF(AI28="","",IF(OR(BF28=0, BF28=""),0,BG28/BF28))</f>
        <v/>
      </c>
      <c r="BI28" s="110" t="str">
        <f aca="false">IF(    OR(   AND($C28=10000000,    BI$19&gt;=$A$17,      BI$19 &lt;($A$17+$DH$17)   ),   AND($C28&lt;&gt;10000000,  BI$19&gt;=$DW28,    BI$19&lt;=($DX28+$DH$17)  ))   ,$DV28,  "")</f>
        <v/>
      </c>
      <c r="BJ28" s="111" t="str">
        <f aca="false">IF(    OR(   AND($C28=10000000,    $A$17&lt;=BJ$19,      ($A$17+$DH$17)&gt;BJ$19    ),   AND($C28&lt;&gt;10000000,  BJ$19&gt;=$DW28,    BJ$19&lt;=($DX28+$DH$17)  ))   ,$DV28,  "")</f>
        <v/>
      </c>
      <c r="BK28" s="111" t="str">
        <f aca="false">IF(    OR(   AND($C28=10000000,    $A$17&lt;=BK$19,      ($A$17+$DH$17)&gt;BK$19    ),   AND($C28&lt;&gt;10000000,  BK$19&gt;=$DW28,    BK$19&lt;=($DX28+$DH$17)  ))   ,$DV28,  "")</f>
        <v/>
      </c>
      <c r="BL28" s="111" t="str">
        <f aca="false">IF(    OR(   AND($C28=10000000,    $A$17&lt;=BL$19,      ($A$17+$DH$17)&gt;BL$19    ),   AND($C28&lt;&gt;10000000,  BL$19&gt;=$DW28,    BL$19&lt;=($DX28+$DH$17)  ))   ,$DV28,  "")</f>
        <v/>
      </c>
      <c r="BM28" s="111" t="str">
        <f aca="false">IF(    OR(   AND($C28=10000000,    $A$17&lt;=BM$19,      ($A$17+$DH$17)&gt;BM$19    ),   AND($C28&lt;&gt;10000000,  BM$19&gt;=$DW28,    BM$19&lt;=($DX28+$DH$17)  ))   ,$DV28,  "")</f>
        <v/>
      </c>
      <c r="BN28" s="111" t="str">
        <f aca="false">IF(    OR(   AND($C28=10000000,    $A$17&lt;=BN$19,      ($A$17+$DH$17)&gt;BN$19    ),   AND($C28&lt;&gt;10000000,  BN$19&gt;=$DW28,    BN$19&lt;=($DX28+$DH$17)  ))   ,$DV28,  "")</f>
        <v/>
      </c>
      <c r="BO28" s="111" t="str">
        <f aca="false">IF(    OR(   AND($C28=10000000,    $A$17&lt;=BO$19,      ($A$17+$DH$17)&gt;BO$19    ),   AND($C28&lt;&gt;10000000,  BO$19&gt;=$DW28,    BO$19&lt;=($DX28+$DH$17)  ))   ,$DV28,  "")</f>
        <v/>
      </c>
      <c r="BP28" s="111" t="str">
        <f aca="false">IF(    OR(   AND($C28=10000000,    $A$17&lt;=BP$19,      ($A$17+$DH$17)&gt;BP$19    ),   AND($C28&lt;&gt;10000000,  BP$19&gt;=$DW28,    BP$19&lt;=($DX28+$DH$17)  ))   ,$DV28,  "")</f>
        <v/>
      </c>
      <c r="BQ28" s="111" t="str">
        <f aca="false">IF(    OR(   AND($C28=10000000,    $A$17&lt;=BQ$19,      ($A$17+$DH$17)&gt;BQ$19    ),   AND($C28&lt;&gt;10000000,  BQ$19&gt;=$DW28,    BQ$19&lt;=($DX28+$DH$17)  ))   ,$DV28,  "")</f>
        <v/>
      </c>
      <c r="BR28" s="111" t="str">
        <f aca="false">IF(    OR(   AND($C28=10000000,    $A$17&lt;=BR$19,      ($A$17+$DH$17)&gt;BR$19    ),   AND($C28&lt;&gt;10000000,  BR$19&gt;=$DW28,    BR$19&lt;=($DX28+$DH$17)  ))   ,$DV28,  "")</f>
        <v/>
      </c>
      <c r="BS28" s="111" t="str">
        <f aca="false">IF(    OR(   AND($C28=10000000,    $A$17&lt;=BS$19,      ($A$17+$DH$17)&gt;BS$19    ),   AND($C28&lt;&gt;10000000,  BS$19&gt;=$DW28,    BS$19&lt;=($DX28+$DH$17)  ))   ,$DV28,  "")</f>
        <v/>
      </c>
      <c r="BT28" s="111" t="str">
        <f aca="false">IF(    OR(   AND($C28=10000000,    $A$17&lt;=BT$19,      ($A$17+$DH$17)&gt;BT$19    ),   AND($C28&lt;&gt;10000000,  BT$19&gt;=$DW28,    BT$19&lt;=($DX28+$DH$17)  ))   ,$DV28,  "")</f>
        <v/>
      </c>
      <c r="BU28" s="111" t="str">
        <f aca="false">IF(    OR(   AND($C28=10000000,    $A$17&lt;=BU$19,      ($A$17+$DH$17)&gt;BU$19    ),   AND($C28&lt;&gt;10000000,  BU$19&gt;=$DW28,    BU$19&lt;=($DX28+$DH$17)  ))   ,$DV28,  "")</f>
        <v/>
      </c>
      <c r="BV28" s="111" t="str">
        <f aca="false">IF(    OR(   AND($C28=10000000,    $A$17&lt;=BV$19,      ($A$17+$DH$17)&gt;BV$19    ),   AND($C28&lt;&gt;10000000,  BV$19&gt;=$DW28,    BV$19&lt;=($DX28+$DH$17)  ))   ,$DV28,  "")</f>
        <v/>
      </c>
      <c r="BW28" s="111" t="str">
        <f aca="false">IF(    OR(   AND($C28=10000000,    $A$17&lt;=BW$19,      ($A$17+$DH$17)&gt;BW$19    ),   AND($C28&lt;&gt;10000000,  BW$19&gt;=$DW28,    BW$19&lt;=($DX28+$DH$17)  ))   ,$DV28,  "")</f>
        <v/>
      </c>
      <c r="BX28" s="111" t="str">
        <f aca="false">IF(    OR(   AND($C28=10000000,    $A$17&lt;=BX$19,      ($A$17+$DH$17)&gt;BX$19    ),   AND($C28&lt;&gt;10000000,  BX$19&gt;=$DW28,    BX$19&lt;=($DX28+$DH$17)  ))   ,$DV28,  "")</f>
        <v/>
      </c>
      <c r="BY28" s="111" t="str">
        <f aca="false">IF(    OR(   AND($C28=10000000,    $A$17&lt;=BY$19,      ($A$17+$DH$17)&gt;BY$19    ),   AND($C28&lt;&gt;10000000,  BY$19&gt;=$DW28,    BY$19&lt;=($DX28+$DH$17)  ))   ,$DV28,  "")</f>
        <v/>
      </c>
      <c r="BZ28" s="111" t="str">
        <f aca="false">IF(    OR(   AND($C28=10000000,    $A$17&lt;=BZ$19,      ($A$17+$DH$17)&gt;BZ$19    ),   AND($C28&lt;&gt;10000000,  BZ$19&gt;=$DW28,    BZ$19&lt;=($DX28+$DH$17)  ))   ,$DV28,  "")</f>
        <v/>
      </c>
      <c r="CA28" s="111" t="str">
        <f aca="false">IF(    OR(   AND($C28=10000000,    $A$17&lt;=CA$19,      ($A$17+$DH$17)&gt;CA$19    ),   AND($C28&lt;&gt;10000000,  CA$19&gt;=$DW28,    CA$19&lt;=($DX28+$DH$17)  ))   ,$DV28,  "")</f>
        <v/>
      </c>
      <c r="CB28" s="111" t="str">
        <f aca="false">IF(    OR(   AND($C28=10000000,    $A$17&lt;=CB$19,      ($A$17+$DH$17)&gt;CB$19    ),   AND($C28&lt;&gt;10000000,  CB$19&gt;=$DW28,    CB$19&lt;=($DX28+$DH$17)  ))   ,$DV28,  "")</f>
        <v/>
      </c>
      <c r="CC28" s="111" t="str">
        <f aca="false">IF(    OR(   AND($C28=10000000,    $A$17&lt;=CC$19,      ($A$17+$DH$17)&gt;CC$19    ),   AND($C28&lt;&gt;10000000,  CC$19&gt;=$DW28,    CC$19&lt;=($DX28+$DH$17)  ))   ,$DV28,  "")</f>
        <v/>
      </c>
      <c r="CD28" s="111" t="str">
        <f aca="false">IF(    OR(   AND($C28=10000000,    $A$17&lt;=CD$19,      ($A$17+$DH$17)&gt;CD$19    ),   AND($C28&lt;&gt;10000000,  CD$19&gt;=$DW28,    CD$19&lt;=($DX28+$DH$17)  ))   ,$DV28,  "")</f>
        <v/>
      </c>
      <c r="CE28" s="111" t="str">
        <f aca="false">IF(    OR(   AND($C28=10000000,    $A$17&lt;=CE$19,      ($A$17+$DH$17)&gt;CE$19    ),   AND($C28&lt;&gt;10000000,  CE$19&gt;=$DW28,    CE$19&lt;=($DX28+$DH$17)  ))   ,$DV28,  "")</f>
        <v/>
      </c>
      <c r="CF28" s="111" t="str">
        <f aca="false">IF(    OR(   AND($C28=10000000,    $A$17&lt;=CF$19,      ($A$17+$DH$17)&gt;CF$19    ),   AND($C28&lt;&gt;10000000,  CF$19&gt;=$DW28,    CF$19&lt;=($DX28+$DH$17)  ))   ,$DV28,  "")</f>
        <v/>
      </c>
      <c r="CG28" s="111" t="str">
        <f aca="false">IF(    OR(   AND($C28=10000000,    $A$17&lt;=CG$19,      ($A$17+$DH$17)&gt;CG$19    ),   AND($C28&lt;&gt;10000000,  CG$19&gt;=$DW28,    CG$19&lt;=($DX28+$DH$17)  ))   ,$DV28,  "")</f>
        <v/>
      </c>
      <c r="CH28" s="111" t="str">
        <f aca="false">IF(    OR(   AND($C28=10000000,    $A$17&lt;=CH$19,      ($A$17+$DH$17)&gt;CH$19    ),   AND($C28&lt;&gt;10000000,  CH$19&gt;=$DW28,    CH$19&lt;=($DX28+$DH$17)  ))   ,$DV28,  "")</f>
        <v/>
      </c>
      <c r="CI28" s="111" t="str">
        <f aca="false">IF(    OR(   AND($C28=10000000,    $A$17&lt;=CI$19,      ($A$17+$DH$17)&gt;CI$19    ),   AND($C28&lt;&gt;10000000,  CI$19&gt;=$DW28,    CI$19&lt;=($DX28+$DH$17)  ))   ,$DV28,  "")</f>
        <v/>
      </c>
      <c r="CJ28" s="111" t="str">
        <f aca="false">IF(    OR(   AND($C28=10000000,    $A$17&lt;=CJ$19,      ($A$17+$DH$17)&gt;CJ$19    ),   AND($C28&lt;&gt;10000000,  CJ$19&gt;=$DW28,    CJ$19&lt;=($DX28+$DH$17)  ))   ,$DV28,  "")</f>
        <v/>
      </c>
      <c r="CK28" s="111" t="str">
        <f aca="false">IF(    OR(   AND($C28=10000000,    $A$17&lt;=CK$19,      ($A$17+$DH$17)&gt;CK$19    ),   AND($C28&lt;&gt;10000000,  CK$19&gt;=$DW28,    CK$19&lt;=($DX28+$DH$17)  ))   ,$DV28,  "")</f>
        <v/>
      </c>
      <c r="CL28" s="111" t="str">
        <f aca="false">IF(    OR(   AND($C28=10000000,    $A$17&lt;=CL$19,      ($A$17+$DH$17)&gt;CL$19    ),   AND($C28&lt;&gt;10000000,  CL$19&gt;=$DW28,    CL$19&lt;=($DX28+$DH$17)  ))   ,$DV28,  "")</f>
        <v/>
      </c>
      <c r="CM28" s="111" t="str">
        <f aca="false">IF(    OR(   AND($C28=10000000,    $A$17&lt;=CM$19,      ($A$17+$DH$17)&gt;CM$19    ),   AND($C28&lt;&gt;10000000,  CM$19&gt;=$DW28,    CM$19&lt;=($DX28+$DH$17)  ))   ,$DV28,  "")</f>
        <v/>
      </c>
      <c r="CN28" s="111" t="str">
        <f aca="false">IF(    OR(   AND($C28=10000000,    $A$17&lt;=CN$19,      ($A$17+$DH$17)&gt;CN$19    ),   AND($C28&lt;&gt;10000000,  CN$19&gt;=$DW28,    CN$19&lt;=($DX28+$DH$17)  ))   ,$DV28,  "")</f>
        <v/>
      </c>
      <c r="CO28" s="111" t="str">
        <f aca="false">IF(    OR(   AND($C28=10000000,    $A$17&lt;=CO$19,      ($A$17+$DH$17)&gt;CO$19    ),   AND($C28&lt;&gt;10000000,  CO$19&gt;=$DW28,    CO$19&lt;=($DX28+$DH$17)  ))   ,$DV28,  "")</f>
        <v/>
      </c>
      <c r="CP28" s="111" t="str">
        <f aca="false">IF(    OR(   AND($C28=10000000,    $A$17&lt;=CP$19,      ($A$17+$DH$17)&gt;CP$19    ),   AND($C28&lt;&gt;10000000,  CP$19&gt;=$DW28,    CP$19&lt;=($DX28+$DH$17)  ))   ,$DV28,  "")</f>
        <v/>
      </c>
      <c r="CQ28" s="111" t="str">
        <f aca="false">IF(    OR(   AND($C28=10000000,    $A$17&lt;=CQ$19,      ($A$17+$DH$17)&gt;CQ$19    ),   AND($C28&lt;&gt;10000000,  CQ$19&gt;=$DW28,    CQ$19&lt;=($DX28+$DH$17)  ))   ,$DV28,  "")</f>
        <v/>
      </c>
      <c r="CR28" s="111" t="str">
        <f aca="false">IF(    OR(   AND($C28=10000000,    $A$17&lt;=CR$19,      ($A$17+$DH$17)&gt;CR$19    ),   AND($C28&lt;&gt;10000000,  CR$19&gt;=$DW28,    CR$19&lt;=($DX28+$DH$17)  ))   ,$DV28,  "")</f>
        <v/>
      </c>
      <c r="CS28" s="111" t="str">
        <f aca="false">IF(    OR(   AND($C28=10000000,    $A$17&lt;=CS$19,      ($A$17+$DH$17)&gt;CS$19    ),   AND($C28&lt;&gt;10000000,  CS$19&gt;=$DW28,    CS$19&lt;=($DX28+$DH$17)  ))   ,$DV28,  "")</f>
        <v/>
      </c>
      <c r="CT28" s="111" t="str">
        <f aca="false">IF(    OR(   AND($C28=10000000,    $A$17&lt;=CT$19,      ($A$17+$DH$17)&gt;CT$19    ),   AND($C28&lt;&gt;10000000,  CT$19&gt;=$DW28,    CT$19&lt;=($DX28+$DH$17)  ))   ,$DV28,  "")</f>
        <v/>
      </c>
      <c r="CU28" s="111" t="str">
        <f aca="false">IF(    OR(   AND($C28=10000000,    $A$17&lt;=CU$19,      ($A$17+$DH$17)&gt;CU$19    ),   AND($C28&lt;&gt;10000000,  CU$19&gt;=$DW28,    CU$19&lt;=($DX28+$DH$17)  ))   ,$DV28,  "")</f>
        <v/>
      </c>
      <c r="CV28" s="111" t="str">
        <f aca="false">IF(    OR(   AND($C28=10000000,    $A$17&lt;=CV$19,      ($A$17+$DH$17)&gt;CV$19    ),   AND($C28&lt;&gt;10000000,  CV$19&gt;=$DW28,    CV$19&lt;=($DX28+$DH$17)  ))   ,$DV28,  "")</f>
        <v/>
      </c>
      <c r="CW28" s="111" t="str">
        <f aca="false">IF(    OR(   AND($C28=10000000,    $A$17&lt;=CW$19,      ($A$17+$DH$17)&gt;CW$19    ),   AND($C28&lt;&gt;10000000,  CW$19&gt;=$DW28,    CW$19&lt;=($DX28+$DH$17)  ))   ,$DV28,  "")</f>
        <v/>
      </c>
      <c r="CX28" s="111" t="str">
        <f aca="false">IF(    OR(   AND($C28=10000000,    $A$17&lt;=CX$19,      ($A$17+$DH$17)&gt;CX$19    ),   AND($C28&lt;&gt;10000000,  CX$19&gt;=$DW28,    CX$19&lt;=($DX28+$DH$17)  ))   ,$DV28,  "")</f>
        <v/>
      </c>
      <c r="CY28" s="111" t="str">
        <f aca="false">IF(    OR(   AND($C28=10000000,    $A$17&lt;=CY$19,      ($A$17+$DH$17)&gt;CY$19    ),   AND($C28&lt;&gt;10000000,  CY$19&gt;=$DW28,    CY$19&lt;=($DX28+$DH$17)  ))   ,$DV28,  "")</f>
        <v/>
      </c>
      <c r="CZ28" s="111" t="str">
        <f aca="false">IF(    OR(   AND($C28=10000000,    $A$17&lt;=CZ$19,      ($A$17+$DH$17)&gt;CZ$19    ),   AND($C28&lt;&gt;10000000,  CZ$19&gt;=$DW28,    CZ$19&lt;=($DX28+$DH$17)  ))   ,$DV28,  "")</f>
        <v/>
      </c>
      <c r="DA28" s="111" t="str">
        <f aca="false">IF(    OR(   AND($C28=10000000,    $A$17&lt;=DA$19,      ($A$17+$DH$17)&gt;DA$19    ),   AND($C28&lt;&gt;10000000,  DA$19&gt;=$DW28,    DA$19&lt;=($DX28+$DH$17)  ))   ,$DV28,  "")</f>
        <v/>
      </c>
      <c r="DB28" s="111" t="str">
        <f aca="false">IF(    OR(   AND($C28=10000000,    $A$17&lt;=DB$19,      ($A$17+$DH$17)&gt;DB$19    ),   AND($C28&lt;&gt;10000000,  DB$19&gt;=$DW28,    DB$19&lt;=($DX28+$DH$17)  ))   ,$DV28,  "")</f>
        <v/>
      </c>
      <c r="DC28" s="111" t="str">
        <f aca="false">IF(    OR(   AND($C28=10000000,    $A$17&lt;=DC$19,      ($A$17+$DH$17)&gt;DC$19    ),   AND($C28&lt;&gt;10000000,  DC$19&gt;=$DW28,    DC$19&lt;=($DX28+$DH$17)  ))   ,$DV28,  "")</f>
        <v/>
      </c>
      <c r="DD28" s="111" t="str">
        <f aca="false">IF(    OR(   AND($C28=10000000,    $A$17&lt;=DD$19,      ($A$17+$DH$17)&gt;DD$19    ),   AND($C28&lt;&gt;10000000,  DD$19&gt;=$DW28,    DD$19&lt;=($DX28+$DH$17)  ))   ,$DV28,  "")</f>
        <v/>
      </c>
      <c r="DE28" s="111" t="str">
        <f aca="false">IF(    OR(   AND($C28=10000000,    $A$17&lt;=DE$19,      ($A$17+$DH$17)&gt;DE$19    ),   AND($C28&lt;&gt;10000000,  DE$19&gt;=$DW28,    DE$19&lt;=($DX28+$DH$17)  ))   ,$DV28,  "")</f>
        <v/>
      </c>
      <c r="DF28" s="111" t="str">
        <f aca="false">IF(    OR(   AND($C28=10000000,    $A$17&lt;=DF$19,      ($A$17+$DH$17)&gt;DF$19    ),   AND($C28&lt;&gt;10000000,  DF$19&gt;=$DW28,    DF$19&lt;=($DX28+$DH$17)  ))   ,$DV28,  "")</f>
        <v/>
      </c>
      <c r="DG28" s="111" t="str">
        <f aca="false">IF(    OR(   AND($C28=10000000,    $A$17&lt;=DG$19,      ($A$17+$DH$17)&gt;DG$19    ),   AND($C28&lt;&gt;10000000,  DG$19&gt;=$DW28,    DG$19&lt;=($DX28+$DH$17)  ))   ,$DV28,  "")</f>
        <v/>
      </c>
      <c r="DH28" s="111" t="str">
        <f aca="false">IF(    OR(   AND($C28=10000000,    $A$17&lt;=DH$19,      ($A$17+$DH$17)&gt;DH$19    ),   AND($C28&lt;&gt;10000000,  DH$19&gt;=$DW28,    DH$19&lt;=($DX28+$DH$17)  ))   ,$DV28,  "")</f>
        <v/>
      </c>
      <c r="DI28" s="112" t="str">
        <f aca="false">IF(BB28="","",IF(ISERROR(FIND(CHAR(10),BB28,1)),BB28,LEFT(BB28,FIND(CHAR(10),BB28,1))))</f>
        <v/>
      </c>
      <c r="DJ28" s="53" t="str">
        <f aca="false">IF(BB28="","",IFERROR(RIGHT(BB28,LEN(BB28)-FIND("@@@",SUBSTITUTE(BB28,CHAR(10),"@@@",LEN(BB28)-LEN(SUBSTITUTE(BB28,CHAR(10),""))),1)),BB28))</f>
        <v/>
      </c>
      <c r="DK28" s="53" t="str">
        <f aca="false">IF(BC28="","",IFERROR(RIGHT(BC28,LEN(BC28)-FIND("@@@",SUBSTITUTE(BC28,CHAR(10),"@@@",LEN(BC28)-LEN(SUBSTITUTE(BC28,CHAR(10),""))),1)),BC28))</f>
        <v/>
      </c>
      <c r="DL28" s="113" t="str">
        <f aca="false">IFERROR(DATE(("20"&amp;MID(DI28,7,2))*1,MID(DI28,4,2)*1,MID(DI28,1,2)*1),"none")</f>
        <v>none</v>
      </c>
      <c r="DM28" s="113" t="str">
        <f aca="false">IFERROR(DATE(("20"&amp;MID(DJ28,7,2))*1,MID(DJ28,4,2)*1,MID(DJ28,1,2)*1),"none")</f>
        <v>none</v>
      </c>
      <c r="DN28" s="113" t="n">
        <f aca="false">IF(DL28&lt;&gt;"none",DL28,DATE(1900,1,1))</f>
        <v>2</v>
      </c>
      <c r="DO28" s="113" t="n">
        <f aca="false">IF(DM28&lt;&gt;"none",DM28,DN28)</f>
        <v>2</v>
      </c>
      <c r="DP28" s="114" t="n">
        <f aca="false">_xlfn.DAYS($A$17,DN28)</f>
        <v>45332</v>
      </c>
      <c r="DQ28" s="114" t="n">
        <f aca="false">_xlfn.DAYS($A$17, DO28)</f>
        <v>45332</v>
      </c>
      <c r="DR28" s="51" t="n">
        <f aca="false">IF(DO28&lt;&gt;"",INT(DQ28/7),0)</f>
        <v>6476</v>
      </c>
      <c r="DS28" s="114" t="n">
        <f aca="false">IF(M28="Overdue",_xlfn.DAYS($A$17,AL28),0)</f>
        <v>0</v>
      </c>
      <c r="DT28" s="114" t="n">
        <f aca="false">IF(AH28="Project",_xlfn.DAYS(AL28,$A$17),0)</f>
        <v>0</v>
      </c>
      <c r="DU28" s="51" t="str">
        <f aca="false">IFERROR(INDEX(Static!$D$5:$E$11,MATCH(AH28,Static!$D$5:$D$11,0),2),"")</f>
        <v/>
      </c>
      <c r="DV28" s="51" t="str">
        <f aca="false">IF(C28=10000000,"Red",IF(OR(C28=11000000,C28=12000000),"Black",IF(C28=11100000,"Dark",IF(AND(C28=12100000,M28="Completed"),"Green",IF(AND(C28=12100000,M28="Overdue"),"Red",IF(C28=12100000,"Dark",IF(AND(C28=12110000,M28="Overdue"),"LightRed",IF(AND(C28=12110000,M28="Completed"),"LightGreen",IF(OR(C28=11110000,C28=12110000),"Light",IF(AND(C28=12111000,M28="Overdue"),"SoftRed",IF(AND(C28=12111000,M28="Completed"),"SoftGreen",IF(OR(C28=11111000,C28=12111000),"Grey",""))))))))))))</f>
        <v/>
      </c>
      <c r="DW28" s="49" t="n">
        <f aca="false">IF(AK28&lt;&gt;"",AK28,$BI$19)</f>
        <v>44927</v>
      </c>
      <c r="DX28" s="49" t="n">
        <f aca="false">IF(AL28&lt;&gt;"",AL28,$DH$19)</f>
        <v>45657</v>
      </c>
      <c r="DY28" s="79" t="s">
        <v>450</v>
      </c>
    </row>
    <row r="29" customFormat="false" ht="14.15" hidden="false" customHeight="true" outlineLevel="0" collapsed="false">
      <c r="A29" s="63"/>
      <c r="B29" s="53" t="n">
        <f aca="false">AH29</f>
        <v>0</v>
      </c>
      <c r="C29" s="51" t="n">
        <f aca="false">IFERROR(INDEX(Static!$D$5:$F$11,MATCH(AH29,Static!$D$5:$D$11,0),3),90000000)</f>
        <v>90000000</v>
      </c>
      <c r="D29" s="51" t="str">
        <f aca="false">MID(C29,2,1)</f>
        <v>0</v>
      </c>
      <c r="E29" s="53" t="str">
        <f aca="false">AB29</f>
        <v/>
      </c>
      <c r="F29" s="51" t="str">
        <f aca="false">IF(B29="Venture",0,IF(OR(B29="Project",B29="Stream",B29="Action"),AK29,""))</f>
        <v/>
      </c>
      <c r="G29" s="51" t="n">
        <f aca="false">AS29</f>
        <v>0</v>
      </c>
      <c r="H29" s="51" t="str">
        <f aca="false">IF(B29="Venture",0,IFERROR(INDEX($E$20:$F$55,MATCH(G29,$E$20:$E$55,0),2),""))</f>
        <v/>
      </c>
      <c r="I29" s="51" t="str">
        <f aca="false">IF(B29="Venture",0,IFERROR(INDEX($E$20:$G$55,MATCH(G29,$E$20:$E$55,0),3),""))</f>
        <v/>
      </c>
      <c r="J29" s="51" t="str">
        <f aca="false">IF(B29="Venture",0,IFERROR(INDEX($E$20:$H$55,MATCH(G29,$E$20:$E$55,0),4),""))</f>
        <v/>
      </c>
      <c r="K29" s="51" t="n">
        <f aca="false">IF(B29="Venture",0,IFERROR(INDEX($E$20:$G$55,MATCH(I29,$E$20:$E$55,0),3),""))</f>
        <v>0</v>
      </c>
      <c r="L29" s="51" t="str">
        <f aca="false">IF(M29="Completed","Completed","Ongoing")</f>
        <v>Ongoing</v>
      </c>
      <c r="M29" s="51" t="n">
        <f aca="false">IF(OR(AH29="Venture",AH29="Routine",AH29="Run Goal", AH29="Chg Goal", AH29=""),AH29,IF(AN29&lt;&gt;"","Completed",IF(AM29&lt;&gt;"","Pending",IF(AND(AL29&lt;&gt;"",$A$17&gt;AL29),"Overdue",IF($A$17&gt;AK29,"Started","Open")))))</f>
        <v>0</v>
      </c>
      <c r="N29" s="50" t="n">
        <f aca="false">((LEN($BC29)-LEN(SUBSTITUTE($BC29,CHAR(10)&amp;". ","")))/3)+IF(LEFT(TRIM($BC29),2)=". ",1,0)</f>
        <v>0</v>
      </c>
      <c r="O29" s="50" t="n">
        <f aca="false">((LEN($BC29)-LEN(SUBSTITUTE($BC29,CHAR(10)&amp;"/ ","")))/3)+IF(LEFT(TRIM($BC29),2)="/ ",1,0)</f>
        <v>0</v>
      </c>
      <c r="P29" s="50" t="n">
        <f aca="false">((LEN($BC29)-LEN(SUBSTITUTE($BC29,CHAR(10)&amp;"~ ","")))/3)+IF(LEFT(TRIM($BC29),2)="~ ",1,0)</f>
        <v>0</v>
      </c>
      <c r="Q29" s="50" t="n">
        <f aca="false">((LEN($BC29)-LEN(SUBSTITUTE($BC29,CHAR(10)&amp;"! ","")))/3)+IF(LEFT(TRIM($BC29),2)="! ",1,0)</f>
        <v>0</v>
      </c>
      <c r="R29" s="50" t="n">
        <f aca="false">((LEN($BC29)-LEN(SUBSTITUTE($BC29,CHAR(10)&amp;"x ","")))/3)+IF(LEFT(TRIM($BC29),2)="x ",1,0)</f>
        <v>0</v>
      </c>
      <c r="S29" s="50" t="n">
        <f aca="false">SUM(N29:R29)</f>
        <v>0</v>
      </c>
      <c r="T29" s="51" t="n">
        <f aca="false">IF(OR($B29="Drill",$B29="Action"),$AO29,0)</f>
        <v>0</v>
      </c>
      <c r="U29" s="51" t="n">
        <f aca="false">IF(OR($B29="Sub",$B29="Stream"),$AO29+SUMIFS($AO$20:$AO$55,$G$20:$G$55,$E29),0)</f>
        <v>0</v>
      </c>
      <c r="V29" s="51" t="n">
        <f aca="false">IF(OR($B29="Routine",$B29="Project"),$AO29+SUMIFS($U$20:$U$55,$G$20:$G$55,$E29),0)</f>
        <v>0</v>
      </c>
      <c r="W29" s="51" t="n">
        <f aca="false">IF($B29="Venture",$AO29+SUMIFS($V$20:$V$55,$G$20:$G$55,$E29),0)</f>
        <v>0</v>
      </c>
      <c r="X29" s="51" t="n">
        <f aca="false">IF(OR($B29="Drill",$B29="Action"),$AP29,0)</f>
        <v>0</v>
      </c>
      <c r="Y29" s="51" t="n">
        <f aca="false">IF(OR($B29="Sub",$B29="Stream"),$AP29+SUMIFS($AP$20:$AP$55,$G$20:$G$55,$E29),0)</f>
        <v>0</v>
      </c>
      <c r="Z29" s="51" t="n">
        <f aca="false">IF(OR($B29="Routine",$B29="Project"),$AP29+SUMIFS($Y$20:$Y$55,$G$20:$G$55,$E29),0)</f>
        <v>0</v>
      </c>
      <c r="AA29" s="51" t="n">
        <f aca="false">IF($B29="Venture",$AP29+SUMIFS($Z$20:$Z$55,$G$20:$G$55,$E29),0)</f>
        <v>0</v>
      </c>
      <c r="AB29" s="51" t="str">
        <f aca="false">IF(OR(AH29="Venture", AH29="Run Goal", AH29="Chg Goal"),AI29,AH29&amp;AI29&amp;AR29)</f>
        <v/>
      </c>
      <c r="AC29" s="53" t="str">
        <f aca="false">"  -  "&amp;IF(C29=90000000,9&amp;"Z",D29&amp;AE29&amp;IF(OR(B29="Run Goal",B29="Chg Goal", B29="Venture"),"",IF(OR(B29="Routine",B29="Project"),F29&amp;E29,  IF(OR(B29="Sub",B29="Stream"),H29&amp;G29&amp;F29&amp;E29,IF(OR(B29="Drill",B29="Action"),J29&amp;I29&amp;H29&amp;G29&amp;F29&amp;E29,     "") )    )))</f>
        <v>  -  9Z</v>
      </c>
      <c r="AD29" s="51" t="str">
        <f aca="false">IF(AND(AM29="",AN29=""),"Y","N")</f>
        <v>Y</v>
      </c>
      <c r="AE29" s="103" t="str">
        <f aca="false">IF(OR(AF29="Y",AF29="Y"),AF29,IF(DM29="none","N",IF(DM29&gt;($A$17-WEEKDAY($A$17,2)-(7*$AE$18)),"Y","N")))</f>
        <v>N</v>
      </c>
      <c r="AF29" s="104"/>
      <c r="AG29" s="105"/>
      <c r="AH29" s="79"/>
      <c r="AI29" s="56"/>
      <c r="AJ29" s="56"/>
      <c r="AK29" s="106"/>
      <c r="AL29" s="106"/>
      <c r="AM29" s="106"/>
      <c r="AN29" s="106"/>
      <c r="AO29" s="107"/>
      <c r="AP29" s="107"/>
      <c r="AQ29" s="79"/>
      <c r="AR29" s="79"/>
      <c r="AS29" s="79"/>
      <c r="AT29" s="79"/>
      <c r="AU29" s="79"/>
      <c r="AV29" s="79"/>
      <c r="AW29" s="79"/>
      <c r="AX29" s="79"/>
      <c r="AY29" s="79"/>
      <c r="AZ29" s="79"/>
      <c r="BA29" s="63"/>
      <c r="BB29" s="108"/>
      <c r="BC29" s="63"/>
      <c r="BD29" s="51" t="n">
        <f aca="false">SUM(N29:Q29)</f>
        <v>0</v>
      </c>
      <c r="BE29" s="59" t="n">
        <f aca="false">IF(AI29="",1,IF(S29&lt;&gt;0,(O29*0.5+R29)/S29,1))</f>
        <v>1</v>
      </c>
      <c r="BF29" s="81" t="str">
        <f aca="false">IF(AH29="","",IF(AH29="Venture",W29,IF(OR(AH29="Chg Goal",AH29="RUn Goal"),V29,IF(OR(AH29="ROutine",AH29="Project"),V29,IF(OR(AH29="Sub",AH29="Stream"),U29,IF(OR(AH29="Drill",AH29="Action"),T29,0))))))</f>
        <v/>
      </c>
      <c r="BG29" s="81" t="str">
        <f aca="false">IF(AH29="","",IF(AH29="Venture",AA29,IF(OR(AH29="Chg Goal",AH29="RUn Goal"),Z29,IF(OR(AH29="ROutine",AH29="Project"),Z29,IF(OR(AH29="Sub",AH29="Stream"),Y29,IF(OR(AH29="Drill",AH29="Action"),X29,0))))))</f>
        <v/>
      </c>
      <c r="BH29" s="109" t="str">
        <f aca="false">IF(AI29="","",IF(OR(BF29=0, BF29=""),0,BG29/BF29))</f>
        <v/>
      </c>
      <c r="BI29" s="110" t="str">
        <f aca="false">IF(    OR(   AND($C29=10000000,    BI$19&gt;=$A$17,      BI$19 &lt;($A$17+$DH$17)   ),   AND($C29&lt;&gt;10000000,  BI$19&gt;=$DW29,    BI$19&lt;=($DX29+$DH$17)  ))   ,$DV29,  "")</f>
        <v/>
      </c>
      <c r="BJ29" s="111" t="str">
        <f aca="false">IF(    OR(   AND($C29=10000000,    $A$17&lt;=BJ$19,      ($A$17+$DH$17)&gt;BJ$19    ),   AND($C29&lt;&gt;10000000,  BJ$19&gt;=$DW29,    BJ$19&lt;=($DX29+$DH$17)  ))   ,$DV29,  "")</f>
        <v/>
      </c>
      <c r="BK29" s="111" t="str">
        <f aca="false">IF(    OR(   AND($C29=10000000,    $A$17&lt;=BK$19,      ($A$17+$DH$17)&gt;BK$19    ),   AND($C29&lt;&gt;10000000,  BK$19&gt;=$DW29,    BK$19&lt;=($DX29+$DH$17)  ))   ,$DV29,  "")</f>
        <v/>
      </c>
      <c r="BL29" s="111" t="str">
        <f aca="false">IF(    OR(   AND($C29=10000000,    $A$17&lt;=BL$19,      ($A$17+$DH$17)&gt;BL$19    ),   AND($C29&lt;&gt;10000000,  BL$19&gt;=$DW29,    BL$19&lt;=($DX29+$DH$17)  ))   ,$DV29,  "")</f>
        <v/>
      </c>
      <c r="BM29" s="111" t="str">
        <f aca="false">IF(    OR(   AND($C29=10000000,    $A$17&lt;=BM$19,      ($A$17+$DH$17)&gt;BM$19    ),   AND($C29&lt;&gt;10000000,  BM$19&gt;=$DW29,    BM$19&lt;=($DX29+$DH$17)  ))   ,$DV29,  "")</f>
        <v/>
      </c>
      <c r="BN29" s="111" t="str">
        <f aca="false">IF(    OR(   AND($C29=10000000,    $A$17&lt;=BN$19,      ($A$17+$DH$17)&gt;BN$19    ),   AND($C29&lt;&gt;10000000,  BN$19&gt;=$DW29,    BN$19&lt;=($DX29+$DH$17)  ))   ,$DV29,  "")</f>
        <v/>
      </c>
      <c r="BO29" s="111" t="str">
        <f aca="false">IF(    OR(   AND($C29=10000000,    $A$17&lt;=BO$19,      ($A$17+$DH$17)&gt;BO$19    ),   AND($C29&lt;&gt;10000000,  BO$19&gt;=$DW29,    BO$19&lt;=($DX29+$DH$17)  ))   ,$DV29,  "")</f>
        <v/>
      </c>
      <c r="BP29" s="111" t="str">
        <f aca="false">IF(    OR(   AND($C29=10000000,    $A$17&lt;=BP$19,      ($A$17+$DH$17)&gt;BP$19    ),   AND($C29&lt;&gt;10000000,  BP$19&gt;=$DW29,    BP$19&lt;=($DX29+$DH$17)  ))   ,$DV29,  "")</f>
        <v/>
      </c>
      <c r="BQ29" s="111" t="str">
        <f aca="false">IF(    OR(   AND($C29=10000000,    $A$17&lt;=BQ$19,      ($A$17+$DH$17)&gt;BQ$19    ),   AND($C29&lt;&gt;10000000,  BQ$19&gt;=$DW29,    BQ$19&lt;=($DX29+$DH$17)  ))   ,$DV29,  "")</f>
        <v/>
      </c>
      <c r="BR29" s="111" t="str">
        <f aca="false">IF(    OR(   AND($C29=10000000,    $A$17&lt;=BR$19,      ($A$17+$DH$17)&gt;BR$19    ),   AND($C29&lt;&gt;10000000,  BR$19&gt;=$DW29,    BR$19&lt;=($DX29+$DH$17)  ))   ,$DV29,  "")</f>
        <v/>
      </c>
      <c r="BS29" s="111" t="str">
        <f aca="false">IF(    OR(   AND($C29=10000000,    $A$17&lt;=BS$19,      ($A$17+$DH$17)&gt;BS$19    ),   AND($C29&lt;&gt;10000000,  BS$19&gt;=$DW29,    BS$19&lt;=($DX29+$DH$17)  ))   ,$DV29,  "")</f>
        <v/>
      </c>
      <c r="BT29" s="111" t="str">
        <f aca="false">IF(    OR(   AND($C29=10000000,    $A$17&lt;=BT$19,      ($A$17+$DH$17)&gt;BT$19    ),   AND($C29&lt;&gt;10000000,  BT$19&gt;=$DW29,    BT$19&lt;=($DX29+$DH$17)  ))   ,$DV29,  "")</f>
        <v/>
      </c>
      <c r="BU29" s="111" t="str">
        <f aca="false">IF(    OR(   AND($C29=10000000,    $A$17&lt;=BU$19,      ($A$17+$DH$17)&gt;BU$19    ),   AND($C29&lt;&gt;10000000,  BU$19&gt;=$DW29,    BU$19&lt;=($DX29+$DH$17)  ))   ,$DV29,  "")</f>
        <v/>
      </c>
      <c r="BV29" s="111" t="str">
        <f aca="false">IF(    OR(   AND($C29=10000000,    $A$17&lt;=BV$19,      ($A$17+$DH$17)&gt;BV$19    ),   AND($C29&lt;&gt;10000000,  BV$19&gt;=$DW29,    BV$19&lt;=($DX29+$DH$17)  ))   ,$DV29,  "")</f>
        <v/>
      </c>
      <c r="BW29" s="111" t="str">
        <f aca="false">IF(    OR(   AND($C29=10000000,    $A$17&lt;=BW$19,      ($A$17+$DH$17)&gt;BW$19    ),   AND($C29&lt;&gt;10000000,  BW$19&gt;=$DW29,    BW$19&lt;=($DX29+$DH$17)  ))   ,$DV29,  "")</f>
        <v/>
      </c>
      <c r="BX29" s="111" t="str">
        <f aca="false">IF(    OR(   AND($C29=10000000,    $A$17&lt;=BX$19,      ($A$17+$DH$17)&gt;BX$19    ),   AND($C29&lt;&gt;10000000,  BX$19&gt;=$DW29,    BX$19&lt;=($DX29+$DH$17)  ))   ,$DV29,  "")</f>
        <v/>
      </c>
      <c r="BY29" s="111" t="str">
        <f aca="false">IF(    OR(   AND($C29=10000000,    $A$17&lt;=BY$19,      ($A$17+$DH$17)&gt;BY$19    ),   AND($C29&lt;&gt;10000000,  BY$19&gt;=$DW29,    BY$19&lt;=($DX29+$DH$17)  ))   ,$DV29,  "")</f>
        <v/>
      </c>
      <c r="BZ29" s="111" t="str">
        <f aca="false">IF(    OR(   AND($C29=10000000,    $A$17&lt;=BZ$19,      ($A$17+$DH$17)&gt;BZ$19    ),   AND($C29&lt;&gt;10000000,  BZ$19&gt;=$DW29,    BZ$19&lt;=($DX29+$DH$17)  ))   ,$DV29,  "")</f>
        <v/>
      </c>
      <c r="CA29" s="111" t="str">
        <f aca="false">IF(    OR(   AND($C29=10000000,    $A$17&lt;=CA$19,      ($A$17+$DH$17)&gt;CA$19    ),   AND($C29&lt;&gt;10000000,  CA$19&gt;=$DW29,    CA$19&lt;=($DX29+$DH$17)  ))   ,$DV29,  "")</f>
        <v/>
      </c>
      <c r="CB29" s="111" t="str">
        <f aca="false">IF(    OR(   AND($C29=10000000,    $A$17&lt;=CB$19,      ($A$17+$DH$17)&gt;CB$19    ),   AND($C29&lt;&gt;10000000,  CB$19&gt;=$DW29,    CB$19&lt;=($DX29+$DH$17)  ))   ,$DV29,  "")</f>
        <v/>
      </c>
      <c r="CC29" s="111" t="str">
        <f aca="false">IF(    OR(   AND($C29=10000000,    $A$17&lt;=CC$19,      ($A$17+$DH$17)&gt;CC$19    ),   AND($C29&lt;&gt;10000000,  CC$19&gt;=$DW29,    CC$19&lt;=($DX29+$DH$17)  ))   ,$DV29,  "")</f>
        <v/>
      </c>
      <c r="CD29" s="111" t="str">
        <f aca="false">IF(    OR(   AND($C29=10000000,    $A$17&lt;=CD$19,      ($A$17+$DH$17)&gt;CD$19    ),   AND($C29&lt;&gt;10000000,  CD$19&gt;=$DW29,    CD$19&lt;=($DX29+$DH$17)  ))   ,$DV29,  "")</f>
        <v/>
      </c>
      <c r="CE29" s="111" t="str">
        <f aca="false">IF(    OR(   AND($C29=10000000,    $A$17&lt;=CE$19,      ($A$17+$DH$17)&gt;CE$19    ),   AND($C29&lt;&gt;10000000,  CE$19&gt;=$DW29,    CE$19&lt;=($DX29+$DH$17)  ))   ,$DV29,  "")</f>
        <v/>
      </c>
      <c r="CF29" s="111" t="str">
        <f aca="false">IF(    OR(   AND($C29=10000000,    $A$17&lt;=CF$19,      ($A$17+$DH$17)&gt;CF$19    ),   AND($C29&lt;&gt;10000000,  CF$19&gt;=$DW29,    CF$19&lt;=($DX29+$DH$17)  ))   ,$DV29,  "")</f>
        <v/>
      </c>
      <c r="CG29" s="111" t="str">
        <f aca="false">IF(    OR(   AND($C29=10000000,    $A$17&lt;=CG$19,      ($A$17+$DH$17)&gt;CG$19    ),   AND($C29&lt;&gt;10000000,  CG$19&gt;=$DW29,    CG$19&lt;=($DX29+$DH$17)  ))   ,$DV29,  "")</f>
        <v/>
      </c>
      <c r="CH29" s="111" t="str">
        <f aca="false">IF(    OR(   AND($C29=10000000,    $A$17&lt;=CH$19,      ($A$17+$DH$17)&gt;CH$19    ),   AND($C29&lt;&gt;10000000,  CH$19&gt;=$DW29,    CH$19&lt;=($DX29+$DH$17)  ))   ,$DV29,  "")</f>
        <v/>
      </c>
      <c r="CI29" s="111" t="str">
        <f aca="false">IF(    OR(   AND($C29=10000000,    $A$17&lt;=CI$19,      ($A$17+$DH$17)&gt;CI$19    ),   AND($C29&lt;&gt;10000000,  CI$19&gt;=$DW29,    CI$19&lt;=($DX29+$DH$17)  ))   ,$DV29,  "")</f>
        <v/>
      </c>
      <c r="CJ29" s="111" t="str">
        <f aca="false">IF(    OR(   AND($C29=10000000,    $A$17&lt;=CJ$19,      ($A$17+$DH$17)&gt;CJ$19    ),   AND($C29&lt;&gt;10000000,  CJ$19&gt;=$DW29,    CJ$19&lt;=($DX29+$DH$17)  ))   ,$DV29,  "")</f>
        <v/>
      </c>
      <c r="CK29" s="111" t="str">
        <f aca="false">IF(    OR(   AND($C29=10000000,    $A$17&lt;=CK$19,      ($A$17+$DH$17)&gt;CK$19    ),   AND($C29&lt;&gt;10000000,  CK$19&gt;=$DW29,    CK$19&lt;=($DX29+$DH$17)  ))   ,$DV29,  "")</f>
        <v/>
      </c>
      <c r="CL29" s="111" t="str">
        <f aca="false">IF(    OR(   AND($C29=10000000,    $A$17&lt;=CL$19,      ($A$17+$DH$17)&gt;CL$19    ),   AND($C29&lt;&gt;10000000,  CL$19&gt;=$DW29,    CL$19&lt;=($DX29+$DH$17)  ))   ,$DV29,  "")</f>
        <v/>
      </c>
      <c r="CM29" s="111" t="str">
        <f aca="false">IF(    OR(   AND($C29=10000000,    $A$17&lt;=CM$19,      ($A$17+$DH$17)&gt;CM$19    ),   AND($C29&lt;&gt;10000000,  CM$19&gt;=$DW29,    CM$19&lt;=($DX29+$DH$17)  ))   ,$DV29,  "")</f>
        <v/>
      </c>
      <c r="CN29" s="111" t="str">
        <f aca="false">IF(    OR(   AND($C29=10000000,    $A$17&lt;=CN$19,      ($A$17+$DH$17)&gt;CN$19    ),   AND($C29&lt;&gt;10000000,  CN$19&gt;=$DW29,    CN$19&lt;=($DX29+$DH$17)  ))   ,$DV29,  "")</f>
        <v/>
      </c>
      <c r="CO29" s="111" t="str">
        <f aca="false">IF(    OR(   AND($C29=10000000,    $A$17&lt;=CO$19,      ($A$17+$DH$17)&gt;CO$19    ),   AND($C29&lt;&gt;10000000,  CO$19&gt;=$DW29,    CO$19&lt;=($DX29+$DH$17)  ))   ,$DV29,  "")</f>
        <v/>
      </c>
      <c r="CP29" s="111" t="str">
        <f aca="false">IF(    OR(   AND($C29=10000000,    $A$17&lt;=CP$19,      ($A$17+$DH$17)&gt;CP$19    ),   AND($C29&lt;&gt;10000000,  CP$19&gt;=$DW29,    CP$19&lt;=($DX29+$DH$17)  ))   ,$DV29,  "")</f>
        <v/>
      </c>
      <c r="CQ29" s="111" t="str">
        <f aca="false">IF(    OR(   AND($C29=10000000,    $A$17&lt;=CQ$19,      ($A$17+$DH$17)&gt;CQ$19    ),   AND($C29&lt;&gt;10000000,  CQ$19&gt;=$DW29,    CQ$19&lt;=($DX29+$DH$17)  ))   ,$DV29,  "")</f>
        <v/>
      </c>
      <c r="CR29" s="111" t="str">
        <f aca="false">IF(    OR(   AND($C29=10000000,    $A$17&lt;=CR$19,      ($A$17+$DH$17)&gt;CR$19    ),   AND($C29&lt;&gt;10000000,  CR$19&gt;=$DW29,    CR$19&lt;=($DX29+$DH$17)  ))   ,$DV29,  "")</f>
        <v/>
      </c>
      <c r="CS29" s="111" t="str">
        <f aca="false">IF(    OR(   AND($C29=10000000,    $A$17&lt;=CS$19,      ($A$17+$DH$17)&gt;CS$19    ),   AND($C29&lt;&gt;10000000,  CS$19&gt;=$DW29,    CS$19&lt;=($DX29+$DH$17)  ))   ,$DV29,  "")</f>
        <v/>
      </c>
      <c r="CT29" s="111" t="str">
        <f aca="false">IF(    OR(   AND($C29=10000000,    $A$17&lt;=CT$19,      ($A$17+$DH$17)&gt;CT$19    ),   AND($C29&lt;&gt;10000000,  CT$19&gt;=$DW29,    CT$19&lt;=($DX29+$DH$17)  ))   ,$DV29,  "")</f>
        <v/>
      </c>
      <c r="CU29" s="111" t="str">
        <f aca="false">IF(    OR(   AND($C29=10000000,    $A$17&lt;=CU$19,      ($A$17+$DH$17)&gt;CU$19    ),   AND($C29&lt;&gt;10000000,  CU$19&gt;=$DW29,    CU$19&lt;=($DX29+$DH$17)  ))   ,$DV29,  "")</f>
        <v/>
      </c>
      <c r="CV29" s="111" t="str">
        <f aca="false">IF(    OR(   AND($C29=10000000,    $A$17&lt;=CV$19,      ($A$17+$DH$17)&gt;CV$19    ),   AND($C29&lt;&gt;10000000,  CV$19&gt;=$DW29,    CV$19&lt;=($DX29+$DH$17)  ))   ,$DV29,  "")</f>
        <v/>
      </c>
      <c r="CW29" s="111" t="str">
        <f aca="false">IF(    OR(   AND($C29=10000000,    $A$17&lt;=CW$19,      ($A$17+$DH$17)&gt;CW$19    ),   AND($C29&lt;&gt;10000000,  CW$19&gt;=$DW29,    CW$19&lt;=($DX29+$DH$17)  ))   ,$DV29,  "")</f>
        <v/>
      </c>
      <c r="CX29" s="111" t="str">
        <f aca="false">IF(    OR(   AND($C29=10000000,    $A$17&lt;=CX$19,      ($A$17+$DH$17)&gt;CX$19    ),   AND($C29&lt;&gt;10000000,  CX$19&gt;=$DW29,    CX$19&lt;=($DX29+$DH$17)  ))   ,$DV29,  "")</f>
        <v/>
      </c>
      <c r="CY29" s="111" t="str">
        <f aca="false">IF(    OR(   AND($C29=10000000,    $A$17&lt;=CY$19,      ($A$17+$DH$17)&gt;CY$19    ),   AND($C29&lt;&gt;10000000,  CY$19&gt;=$DW29,    CY$19&lt;=($DX29+$DH$17)  ))   ,$DV29,  "")</f>
        <v/>
      </c>
      <c r="CZ29" s="111" t="str">
        <f aca="false">IF(    OR(   AND($C29=10000000,    $A$17&lt;=CZ$19,      ($A$17+$DH$17)&gt;CZ$19    ),   AND($C29&lt;&gt;10000000,  CZ$19&gt;=$DW29,    CZ$19&lt;=($DX29+$DH$17)  ))   ,$DV29,  "")</f>
        <v/>
      </c>
      <c r="DA29" s="111" t="str">
        <f aca="false">IF(    OR(   AND($C29=10000000,    $A$17&lt;=DA$19,      ($A$17+$DH$17)&gt;DA$19    ),   AND($C29&lt;&gt;10000000,  DA$19&gt;=$DW29,    DA$19&lt;=($DX29+$DH$17)  ))   ,$DV29,  "")</f>
        <v/>
      </c>
      <c r="DB29" s="111" t="str">
        <f aca="false">IF(    OR(   AND($C29=10000000,    $A$17&lt;=DB$19,      ($A$17+$DH$17)&gt;DB$19    ),   AND($C29&lt;&gt;10000000,  DB$19&gt;=$DW29,    DB$19&lt;=($DX29+$DH$17)  ))   ,$DV29,  "")</f>
        <v/>
      </c>
      <c r="DC29" s="111" t="str">
        <f aca="false">IF(    OR(   AND($C29=10000000,    $A$17&lt;=DC$19,      ($A$17+$DH$17)&gt;DC$19    ),   AND($C29&lt;&gt;10000000,  DC$19&gt;=$DW29,    DC$19&lt;=($DX29+$DH$17)  ))   ,$DV29,  "")</f>
        <v/>
      </c>
      <c r="DD29" s="111" t="str">
        <f aca="false">IF(    OR(   AND($C29=10000000,    $A$17&lt;=DD$19,      ($A$17+$DH$17)&gt;DD$19    ),   AND($C29&lt;&gt;10000000,  DD$19&gt;=$DW29,    DD$19&lt;=($DX29+$DH$17)  ))   ,$DV29,  "")</f>
        <v/>
      </c>
      <c r="DE29" s="111" t="str">
        <f aca="false">IF(    OR(   AND($C29=10000000,    $A$17&lt;=DE$19,      ($A$17+$DH$17)&gt;DE$19    ),   AND($C29&lt;&gt;10000000,  DE$19&gt;=$DW29,    DE$19&lt;=($DX29+$DH$17)  ))   ,$DV29,  "")</f>
        <v/>
      </c>
      <c r="DF29" s="111" t="str">
        <f aca="false">IF(    OR(   AND($C29=10000000,    $A$17&lt;=DF$19,      ($A$17+$DH$17)&gt;DF$19    ),   AND($C29&lt;&gt;10000000,  DF$19&gt;=$DW29,    DF$19&lt;=($DX29+$DH$17)  ))   ,$DV29,  "")</f>
        <v/>
      </c>
      <c r="DG29" s="111" t="str">
        <f aca="false">IF(    OR(   AND($C29=10000000,    $A$17&lt;=DG$19,      ($A$17+$DH$17)&gt;DG$19    ),   AND($C29&lt;&gt;10000000,  DG$19&gt;=$DW29,    DG$19&lt;=($DX29+$DH$17)  ))   ,$DV29,  "")</f>
        <v/>
      </c>
      <c r="DH29" s="111" t="str">
        <f aca="false">IF(    OR(   AND($C29=10000000,    $A$17&lt;=DH$19,      ($A$17+$DH$17)&gt;DH$19    ),   AND($C29&lt;&gt;10000000,  DH$19&gt;=$DW29,    DH$19&lt;=($DX29+$DH$17)  ))   ,$DV29,  "")</f>
        <v/>
      </c>
      <c r="DI29" s="112" t="str">
        <f aca="false">IF(BB29="","",IF(ISERROR(FIND(CHAR(10),BB29,1)),BB29,LEFT(BB29,FIND(CHAR(10),BB29,1))))</f>
        <v/>
      </c>
      <c r="DJ29" s="53" t="str">
        <f aca="false">IF(BB29="","",IFERROR(RIGHT(BB29,LEN(BB29)-FIND("@@@",SUBSTITUTE(BB29,CHAR(10),"@@@",LEN(BB29)-LEN(SUBSTITUTE(BB29,CHAR(10),""))),1)),BB29))</f>
        <v/>
      </c>
      <c r="DK29" s="53" t="str">
        <f aca="false">IF(BC29="","",IFERROR(RIGHT(BC29,LEN(BC29)-FIND("@@@",SUBSTITUTE(BC29,CHAR(10),"@@@",LEN(BC29)-LEN(SUBSTITUTE(BC29,CHAR(10),""))),1)),BC29))</f>
        <v/>
      </c>
      <c r="DL29" s="113" t="str">
        <f aca="false">IFERROR(DATE(("20"&amp;MID(DI29,7,2))*1,MID(DI29,4,2)*1,MID(DI29,1,2)*1),"none")</f>
        <v>none</v>
      </c>
      <c r="DM29" s="113" t="str">
        <f aca="false">IFERROR(DATE(("20"&amp;MID(DJ29,7,2))*1,MID(DJ29,4,2)*1,MID(DJ29,1,2)*1),"none")</f>
        <v>none</v>
      </c>
      <c r="DN29" s="113" t="n">
        <f aca="false">IF(DL29&lt;&gt;"none",DL29,DATE(1900,1,1))</f>
        <v>2</v>
      </c>
      <c r="DO29" s="113" t="n">
        <f aca="false">IF(DM29&lt;&gt;"none",DM29,DN29)</f>
        <v>2</v>
      </c>
      <c r="DP29" s="114" t="n">
        <f aca="false">_xlfn.DAYS($A$17,DN29)</f>
        <v>45332</v>
      </c>
      <c r="DQ29" s="114" t="n">
        <f aca="false">_xlfn.DAYS($A$17, DO29)</f>
        <v>45332</v>
      </c>
      <c r="DR29" s="51" t="n">
        <f aca="false">IF(DO29&lt;&gt;"",INT(DQ29/7),0)</f>
        <v>6476</v>
      </c>
      <c r="DS29" s="114" t="n">
        <f aca="false">IF(M29="Overdue",_xlfn.DAYS($A$17,AL29),0)</f>
        <v>0</v>
      </c>
      <c r="DT29" s="114" t="n">
        <f aca="false">IF(AH29="Project",_xlfn.DAYS(AL29,$A$17),0)</f>
        <v>0</v>
      </c>
      <c r="DU29" s="51" t="str">
        <f aca="false">IFERROR(INDEX(Static!$D$5:$E$11,MATCH(AH29,Static!$D$5:$D$11,0),2),"")</f>
        <v/>
      </c>
      <c r="DV29" s="51" t="str">
        <f aca="false">IF(C29=10000000,"Red",IF(OR(C29=11000000,C29=12000000),"Black",IF(C29=11100000,"Dark",IF(AND(C29=12100000,M29="Completed"),"Green",IF(AND(C29=12100000,M29="Overdue"),"Red",IF(C29=12100000,"Dark",IF(AND(C29=12110000,M29="Overdue"),"LightRed",IF(AND(C29=12110000,M29="Completed"),"LightGreen",IF(OR(C29=11110000,C29=12110000),"Light",IF(AND(C29=12111000,M29="Overdue"),"SoftRed",IF(AND(C29=12111000,M29="Completed"),"SoftGreen",IF(OR(C29=11111000,C29=12111000),"Grey",""))))))))))))</f>
        <v/>
      </c>
      <c r="DW29" s="49" t="n">
        <f aca="false">IF(AK29&lt;&gt;"",AK29,$BI$19)</f>
        <v>44927</v>
      </c>
      <c r="DX29" s="49" t="n">
        <f aca="false">IF(AL29&lt;&gt;"",AL29,$DH$19)</f>
        <v>45657</v>
      </c>
      <c r="DY29" s="79" t="s">
        <v>450</v>
      </c>
    </row>
    <row r="30" customFormat="false" ht="14.15" hidden="false" customHeight="true" outlineLevel="0" collapsed="false">
      <c r="A30" s="63"/>
      <c r="B30" s="53" t="n">
        <f aca="false">AH30</f>
        <v>0</v>
      </c>
      <c r="C30" s="51" t="n">
        <f aca="false">IFERROR(INDEX(Static!$D$5:$F$11,MATCH(AH30,Static!$D$5:$D$11,0),3),90000000)</f>
        <v>90000000</v>
      </c>
      <c r="D30" s="51" t="str">
        <f aca="false">MID(C30,2,1)</f>
        <v>0</v>
      </c>
      <c r="E30" s="53" t="str">
        <f aca="false">AB30</f>
        <v/>
      </c>
      <c r="F30" s="51" t="str">
        <f aca="false">IF(B30="Venture",0,IF(OR(B30="Project",B30="Stream",B30="Action"),AK30,""))</f>
        <v/>
      </c>
      <c r="G30" s="51" t="n">
        <f aca="false">AS30</f>
        <v>0</v>
      </c>
      <c r="H30" s="51" t="str">
        <f aca="false">IF(B30="Venture",0,IFERROR(INDEX($E$20:$F$55,MATCH(G30,$E$20:$E$55,0),2),""))</f>
        <v/>
      </c>
      <c r="I30" s="51" t="str">
        <f aca="false">IF(B30="Venture",0,IFERROR(INDEX($E$20:$G$55,MATCH(G30,$E$20:$E$55,0),3),""))</f>
        <v/>
      </c>
      <c r="J30" s="51" t="str">
        <f aca="false">IF(B30="Venture",0,IFERROR(INDEX($E$20:$H$55,MATCH(G30,$E$20:$E$55,0),4),""))</f>
        <v/>
      </c>
      <c r="K30" s="51" t="n">
        <f aca="false">IF(B30="Venture",0,IFERROR(INDEX($E$20:$G$55,MATCH(I30,$E$20:$E$55,0),3),""))</f>
        <v>0</v>
      </c>
      <c r="L30" s="51" t="str">
        <f aca="false">IF(M30="Completed","Completed","Ongoing")</f>
        <v>Ongoing</v>
      </c>
      <c r="M30" s="51" t="n">
        <f aca="false">IF(OR(AH30="Venture",AH30="Routine",AH30="Run Goal", AH30="Chg Goal", AH30=""),AH30,IF(AN30&lt;&gt;"","Completed",IF(AM30&lt;&gt;"","Pending",IF(AND(AL30&lt;&gt;"",$A$17&gt;AL30),"Overdue",IF($A$17&gt;AK30,"Started","Open")))))</f>
        <v>0</v>
      </c>
      <c r="N30" s="50" t="n">
        <f aca="false">((LEN($BC30)-LEN(SUBSTITUTE($BC30,CHAR(10)&amp;". ","")))/3)+IF(LEFT(TRIM($BC30),2)=". ",1,0)</f>
        <v>0</v>
      </c>
      <c r="O30" s="50" t="n">
        <f aca="false">((LEN($BC30)-LEN(SUBSTITUTE($BC30,CHAR(10)&amp;"/ ","")))/3)+IF(LEFT(TRIM($BC30),2)="/ ",1,0)</f>
        <v>0</v>
      </c>
      <c r="P30" s="50" t="n">
        <f aca="false">((LEN($BC30)-LEN(SUBSTITUTE($BC30,CHAR(10)&amp;"~ ","")))/3)+IF(LEFT(TRIM($BC30),2)="~ ",1,0)</f>
        <v>0</v>
      </c>
      <c r="Q30" s="50" t="n">
        <f aca="false">((LEN($BC30)-LEN(SUBSTITUTE($BC30,CHAR(10)&amp;"! ","")))/3)+IF(LEFT(TRIM($BC30),2)="! ",1,0)</f>
        <v>0</v>
      </c>
      <c r="R30" s="50" t="n">
        <f aca="false">((LEN($BC30)-LEN(SUBSTITUTE($BC30,CHAR(10)&amp;"x ","")))/3)+IF(LEFT(TRIM($BC30),2)="x ",1,0)</f>
        <v>0</v>
      </c>
      <c r="S30" s="50" t="n">
        <f aca="false">SUM(N30:R30)</f>
        <v>0</v>
      </c>
      <c r="T30" s="51" t="n">
        <f aca="false">IF(OR($B30="Drill",$B30="Action"),$AO30,0)</f>
        <v>0</v>
      </c>
      <c r="U30" s="51" t="n">
        <f aca="false">IF(OR($B30="Sub",$B30="Stream"),$AO30+SUMIFS($AO$20:$AO$55,$G$20:$G$55,$E30),0)</f>
        <v>0</v>
      </c>
      <c r="V30" s="51" t="n">
        <f aca="false">IF(OR($B30="Routine",$B30="Project"),$AO30+SUMIFS($U$20:$U$55,$G$20:$G$55,$E30),0)</f>
        <v>0</v>
      </c>
      <c r="W30" s="51" t="n">
        <f aca="false">IF($B30="Venture",$AO30+SUMIFS($V$20:$V$55,$G$20:$G$55,$E30),0)</f>
        <v>0</v>
      </c>
      <c r="X30" s="51" t="n">
        <f aca="false">IF(OR($B30="Drill",$B30="Action"),$AP30,0)</f>
        <v>0</v>
      </c>
      <c r="Y30" s="51" t="n">
        <f aca="false">IF(OR($B30="Sub",$B30="Stream"),$AP30+SUMIFS($AP$20:$AP$55,$G$20:$G$55,$E30),0)</f>
        <v>0</v>
      </c>
      <c r="Z30" s="51" t="n">
        <f aca="false">IF(OR($B30="Routine",$B30="Project"),$AP30+SUMIFS($Y$20:$Y$55,$G$20:$G$55,$E30),0)</f>
        <v>0</v>
      </c>
      <c r="AA30" s="51" t="n">
        <f aca="false">IF($B30="Venture",$AP30+SUMIFS($Z$20:$Z$55,$G$20:$G$55,$E30),0)</f>
        <v>0</v>
      </c>
      <c r="AB30" s="51" t="str">
        <f aca="false">IF(OR(AH30="Venture", AH30="Run Goal", AH30="Chg Goal"),AI30,AH30&amp;AI30&amp;AR30)</f>
        <v/>
      </c>
      <c r="AC30" s="53" t="str">
        <f aca="false">"  -  "&amp;IF(C30=90000000,9&amp;"Z",D30&amp;AE30&amp;IF(OR(B30="Run Goal",B30="Chg Goal", B30="Venture"),"",IF(OR(B30="Routine",B30="Project"),F30&amp;E30,  IF(OR(B30="Sub",B30="Stream"),H30&amp;G30&amp;F30&amp;E30,IF(OR(B30="Drill",B30="Action"),J30&amp;I30&amp;H30&amp;G30&amp;F30&amp;E30,     "") )    )))</f>
        <v>  -  9Z</v>
      </c>
      <c r="AD30" s="51" t="str">
        <f aca="false">IF(AND(AM30="",AN30=""),"Y","N")</f>
        <v>Y</v>
      </c>
      <c r="AE30" s="103" t="str">
        <f aca="false">IF(OR(AF30="Y",AF30="Y"),AF30,IF(DM30="none","N",IF(DM30&gt;($A$17-WEEKDAY($A$17,2)-(7*$AE$18)),"Y","N")))</f>
        <v>N</v>
      </c>
      <c r="AF30" s="104"/>
      <c r="AG30" s="105"/>
      <c r="AH30" s="79"/>
      <c r="AI30" s="56"/>
      <c r="AJ30" s="58"/>
      <c r="AK30" s="106"/>
      <c r="AL30" s="106"/>
      <c r="AM30" s="106"/>
      <c r="AN30" s="106"/>
      <c r="AO30" s="107"/>
      <c r="AP30" s="107"/>
      <c r="AQ30" s="79"/>
      <c r="AR30" s="79"/>
      <c r="AS30" s="79"/>
      <c r="AT30" s="79"/>
      <c r="AU30" s="79"/>
      <c r="AV30" s="79"/>
      <c r="AW30" s="79"/>
      <c r="AX30" s="79"/>
      <c r="AY30" s="79"/>
      <c r="AZ30" s="79"/>
      <c r="BA30" s="63"/>
      <c r="BB30" s="108"/>
      <c r="BC30" s="63"/>
      <c r="BD30" s="51" t="n">
        <f aca="false">SUM(N30:Q30)</f>
        <v>0</v>
      </c>
      <c r="BE30" s="59" t="n">
        <f aca="false">IF(AI30="",1,IF(S30&lt;&gt;0,(O30*0.5+R30)/S30,1))</f>
        <v>1</v>
      </c>
      <c r="BF30" s="81" t="str">
        <f aca="false">IF(AH30="","",IF(AH30="Venture",W30,IF(OR(AH30="Chg Goal",AH30="RUn Goal"),V30,IF(OR(AH30="ROutine",AH30="Project"),V30,IF(OR(AH30="Sub",AH30="Stream"),U30,IF(OR(AH30="Drill",AH30="Action"),T30,0))))))</f>
        <v/>
      </c>
      <c r="BG30" s="81" t="str">
        <f aca="false">IF(AH30="","",IF(AH30="Venture",AA30,IF(OR(AH30="Chg Goal",AH30="RUn Goal"),Z30,IF(OR(AH30="ROutine",AH30="Project"),Z30,IF(OR(AH30="Sub",AH30="Stream"),Y30,IF(OR(AH30="Drill",AH30="Action"),X30,0))))))</f>
        <v/>
      </c>
      <c r="BH30" s="109" t="str">
        <f aca="false">IF(AI30="","",IF(OR(BF30=0, BF30=""),0,BG30/BF30))</f>
        <v/>
      </c>
      <c r="BI30" s="110" t="str">
        <f aca="false">IF(    OR(   AND($C30=10000000,    BI$19&gt;=$A$17,      BI$19 &lt;($A$17+$DH$17)   ),   AND($C30&lt;&gt;10000000,  BI$19&gt;=$DW30,    BI$19&lt;=($DX30+$DH$17)  ))   ,$DV30,  "")</f>
        <v/>
      </c>
      <c r="BJ30" s="111" t="str">
        <f aca="false">IF(    OR(   AND($C30=10000000,    $A$17&lt;=BJ$19,      ($A$17+$DH$17)&gt;BJ$19    ),   AND($C30&lt;&gt;10000000,  BJ$19&gt;=$DW30,    BJ$19&lt;=($DX30+$DH$17)  ))   ,$DV30,  "")</f>
        <v/>
      </c>
      <c r="BK30" s="111" t="str">
        <f aca="false">IF(    OR(   AND($C30=10000000,    $A$17&lt;=BK$19,      ($A$17+$DH$17)&gt;BK$19    ),   AND($C30&lt;&gt;10000000,  BK$19&gt;=$DW30,    BK$19&lt;=($DX30+$DH$17)  ))   ,$DV30,  "")</f>
        <v/>
      </c>
      <c r="BL30" s="111" t="str">
        <f aca="false">IF(    OR(   AND($C30=10000000,    $A$17&lt;=BL$19,      ($A$17+$DH$17)&gt;BL$19    ),   AND($C30&lt;&gt;10000000,  BL$19&gt;=$DW30,    BL$19&lt;=($DX30+$DH$17)  ))   ,$DV30,  "")</f>
        <v/>
      </c>
      <c r="BM30" s="111" t="str">
        <f aca="false">IF(    OR(   AND($C30=10000000,    $A$17&lt;=BM$19,      ($A$17+$DH$17)&gt;BM$19    ),   AND($C30&lt;&gt;10000000,  BM$19&gt;=$DW30,    BM$19&lt;=($DX30+$DH$17)  ))   ,$DV30,  "")</f>
        <v/>
      </c>
      <c r="BN30" s="111" t="str">
        <f aca="false">IF(    OR(   AND($C30=10000000,    $A$17&lt;=BN$19,      ($A$17+$DH$17)&gt;BN$19    ),   AND($C30&lt;&gt;10000000,  BN$19&gt;=$DW30,    BN$19&lt;=($DX30+$DH$17)  ))   ,$DV30,  "")</f>
        <v/>
      </c>
      <c r="BO30" s="111" t="str">
        <f aca="false">IF(    OR(   AND($C30=10000000,    $A$17&lt;=BO$19,      ($A$17+$DH$17)&gt;BO$19    ),   AND($C30&lt;&gt;10000000,  BO$19&gt;=$DW30,    BO$19&lt;=($DX30+$DH$17)  ))   ,$DV30,  "")</f>
        <v/>
      </c>
      <c r="BP30" s="111" t="str">
        <f aca="false">IF(    OR(   AND($C30=10000000,    $A$17&lt;=BP$19,      ($A$17+$DH$17)&gt;BP$19    ),   AND($C30&lt;&gt;10000000,  BP$19&gt;=$DW30,    BP$19&lt;=($DX30+$DH$17)  ))   ,$DV30,  "")</f>
        <v/>
      </c>
      <c r="BQ30" s="111" t="str">
        <f aca="false">IF(    OR(   AND($C30=10000000,    $A$17&lt;=BQ$19,      ($A$17+$DH$17)&gt;BQ$19    ),   AND($C30&lt;&gt;10000000,  BQ$19&gt;=$DW30,    BQ$19&lt;=($DX30+$DH$17)  ))   ,$DV30,  "")</f>
        <v/>
      </c>
      <c r="BR30" s="111" t="str">
        <f aca="false">IF(    OR(   AND($C30=10000000,    $A$17&lt;=BR$19,      ($A$17+$DH$17)&gt;BR$19    ),   AND($C30&lt;&gt;10000000,  BR$19&gt;=$DW30,    BR$19&lt;=($DX30+$DH$17)  ))   ,$DV30,  "")</f>
        <v/>
      </c>
      <c r="BS30" s="111" t="str">
        <f aca="false">IF(    OR(   AND($C30=10000000,    $A$17&lt;=BS$19,      ($A$17+$DH$17)&gt;BS$19    ),   AND($C30&lt;&gt;10000000,  BS$19&gt;=$DW30,    BS$19&lt;=($DX30+$DH$17)  ))   ,$DV30,  "")</f>
        <v/>
      </c>
      <c r="BT30" s="111" t="str">
        <f aca="false">IF(    OR(   AND($C30=10000000,    $A$17&lt;=BT$19,      ($A$17+$DH$17)&gt;BT$19    ),   AND($C30&lt;&gt;10000000,  BT$19&gt;=$DW30,    BT$19&lt;=($DX30+$DH$17)  ))   ,$DV30,  "")</f>
        <v/>
      </c>
      <c r="BU30" s="111" t="str">
        <f aca="false">IF(    OR(   AND($C30=10000000,    $A$17&lt;=BU$19,      ($A$17+$DH$17)&gt;BU$19    ),   AND($C30&lt;&gt;10000000,  BU$19&gt;=$DW30,    BU$19&lt;=($DX30+$DH$17)  ))   ,$DV30,  "")</f>
        <v/>
      </c>
      <c r="BV30" s="111" t="str">
        <f aca="false">IF(    OR(   AND($C30=10000000,    $A$17&lt;=BV$19,      ($A$17+$DH$17)&gt;BV$19    ),   AND($C30&lt;&gt;10000000,  BV$19&gt;=$DW30,    BV$19&lt;=($DX30+$DH$17)  ))   ,$DV30,  "")</f>
        <v/>
      </c>
      <c r="BW30" s="111" t="str">
        <f aca="false">IF(    OR(   AND($C30=10000000,    $A$17&lt;=BW$19,      ($A$17+$DH$17)&gt;BW$19    ),   AND($C30&lt;&gt;10000000,  BW$19&gt;=$DW30,    BW$19&lt;=($DX30+$DH$17)  ))   ,$DV30,  "")</f>
        <v/>
      </c>
      <c r="BX30" s="111" t="str">
        <f aca="false">IF(    OR(   AND($C30=10000000,    $A$17&lt;=BX$19,      ($A$17+$DH$17)&gt;BX$19    ),   AND($C30&lt;&gt;10000000,  BX$19&gt;=$DW30,    BX$19&lt;=($DX30+$DH$17)  ))   ,$DV30,  "")</f>
        <v/>
      </c>
      <c r="BY30" s="111" t="str">
        <f aca="false">IF(    OR(   AND($C30=10000000,    $A$17&lt;=BY$19,      ($A$17+$DH$17)&gt;BY$19    ),   AND($C30&lt;&gt;10000000,  BY$19&gt;=$DW30,    BY$19&lt;=($DX30+$DH$17)  ))   ,$DV30,  "")</f>
        <v/>
      </c>
      <c r="BZ30" s="111" t="str">
        <f aca="false">IF(    OR(   AND($C30=10000000,    $A$17&lt;=BZ$19,      ($A$17+$DH$17)&gt;BZ$19    ),   AND($C30&lt;&gt;10000000,  BZ$19&gt;=$DW30,    BZ$19&lt;=($DX30+$DH$17)  ))   ,$DV30,  "")</f>
        <v/>
      </c>
      <c r="CA30" s="111" t="str">
        <f aca="false">IF(    OR(   AND($C30=10000000,    $A$17&lt;=CA$19,      ($A$17+$DH$17)&gt;CA$19    ),   AND($C30&lt;&gt;10000000,  CA$19&gt;=$DW30,    CA$19&lt;=($DX30+$DH$17)  ))   ,$DV30,  "")</f>
        <v/>
      </c>
      <c r="CB30" s="111" t="str">
        <f aca="false">IF(    OR(   AND($C30=10000000,    $A$17&lt;=CB$19,      ($A$17+$DH$17)&gt;CB$19    ),   AND($C30&lt;&gt;10000000,  CB$19&gt;=$DW30,    CB$19&lt;=($DX30+$DH$17)  ))   ,$DV30,  "")</f>
        <v/>
      </c>
      <c r="CC30" s="111" t="str">
        <f aca="false">IF(    OR(   AND($C30=10000000,    $A$17&lt;=CC$19,      ($A$17+$DH$17)&gt;CC$19    ),   AND($C30&lt;&gt;10000000,  CC$19&gt;=$DW30,    CC$19&lt;=($DX30+$DH$17)  ))   ,$DV30,  "")</f>
        <v/>
      </c>
      <c r="CD30" s="111" t="str">
        <f aca="false">IF(    OR(   AND($C30=10000000,    $A$17&lt;=CD$19,      ($A$17+$DH$17)&gt;CD$19    ),   AND($C30&lt;&gt;10000000,  CD$19&gt;=$DW30,    CD$19&lt;=($DX30+$DH$17)  ))   ,$DV30,  "")</f>
        <v/>
      </c>
      <c r="CE30" s="111" t="str">
        <f aca="false">IF(    OR(   AND($C30=10000000,    $A$17&lt;=CE$19,      ($A$17+$DH$17)&gt;CE$19    ),   AND($C30&lt;&gt;10000000,  CE$19&gt;=$DW30,    CE$19&lt;=($DX30+$DH$17)  ))   ,$DV30,  "")</f>
        <v/>
      </c>
      <c r="CF30" s="111" t="str">
        <f aca="false">IF(    OR(   AND($C30=10000000,    $A$17&lt;=CF$19,      ($A$17+$DH$17)&gt;CF$19    ),   AND($C30&lt;&gt;10000000,  CF$19&gt;=$DW30,    CF$19&lt;=($DX30+$DH$17)  ))   ,$DV30,  "")</f>
        <v/>
      </c>
      <c r="CG30" s="111" t="str">
        <f aca="false">IF(    OR(   AND($C30=10000000,    $A$17&lt;=CG$19,      ($A$17+$DH$17)&gt;CG$19    ),   AND($C30&lt;&gt;10000000,  CG$19&gt;=$DW30,    CG$19&lt;=($DX30+$DH$17)  ))   ,$DV30,  "")</f>
        <v/>
      </c>
      <c r="CH30" s="111" t="str">
        <f aca="false">IF(    OR(   AND($C30=10000000,    $A$17&lt;=CH$19,      ($A$17+$DH$17)&gt;CH$19    ),   AND($C30&lt;&gt;10000000,  CH$19&gt;=$DW30,    CH$19&lt;=($DX30+$DH$17)  ))   ,$DV30,  "")</f>
        <v/>
      </c>
      <c r="CI30" s="111" t="str">
        <f aca="false">IF(    OR(   AND($C30=10000000,    $A$17&lt;=CI$19,      ($A$17+$DH$17)&gt;CI$19    ),   AND($C30&lt;&gt;10000000,  CI$19&gt;=$DW30,    CI$19&lt;=($DX30+$DH$17)  ))   ,$DV30,  "")</f>
        <v/>
      </c>
      <c r="CJ30" s="111" t="str">
        <f aca="false">IF(    OR(   AND($C30=10000000,    $A$17&lt;=CJ$19,      ($A$17+$DH$17)&gt;CJ$19    ),   AND($C30&lt;&gt;10000000,  CJ$19&gt;=$DW30,    CJ$19&lt;=($DX30+$DH$17)  ))   ,$DV30,  "")</f>
        <v/>
      </c>
      <c r="CK30" s="111" t="str">
        <f aca="false">IF(    OR(   AND($C30=10000000,    $A$17&lt;=CK$19,      ($A$17+$DH$17)&gt;CK$19    ),   AND($C30&lt;&gt;10000000,  CK$19&gt;=$DW30,    CK$19&lt;=($DX30+$DH$17)  ))   ,$DV30,  "")</f>
        <v/>
      </c>
      <c r="CL30" s="111" t="str">
        <f aca="false">IF(    OR(   AND($C30=10000000,    $A$17&lt;=CL$19,      ($A$17+$DH$17)&gt;CL$19    ),   AND($C30&lt;&gt;10000000,  CL$19&gt;=$DW30,    CL$19&lt;=($DX30+$DH$17)  ))   ,$DV30,  "")</f>
        <v/>
      </c>
      <c r="CM30" s="111" t="str">
        <f aca="false">IF(    OR(   AND($C30=10000000,    $A$17&lt;=CM$19,      ($A$17+$DH$17)&gt;CM$19    ),   AND($C30&lt;&gt;10000000,  CM$19&gt;=$DW30,    CM$19&lt;=($DX30+$DH$17)  ))   ,$DV30,  "")</f>
        <v/>
      </c>
      <c r="CN30" s="111" t="str">
        <f aca="false">IF(    OR(   AND($C30=10000000,    $A$17&lt;=CN$19,      ($A$17+$DH$17)&gt;CN$19    ),   AND($C30&lt;&gt;10000000,  CN$19&gt;=$DW30,    CN$19&lt;=($DX30+$DH$17)  ))   ,$DV30,  "")</f>
        <v/>
      </c>
      <c r="CO30" s="111" t="str">
        <f aca="false">IF(    OR(   AND($C30=10000000,    $A$17&lt;=CO$19,      ($A$17+$DH$17)&gt;CO$19    ),   AND($C30&lt;&gt;10000000,  CO$19&gt;=$DW30,    CO$19&lt;=($DX30+$DH$17)  ))   ,$DV30,  "")</f>
        <v/>
      </c>
      <c r="CP30" s="111" t="str">
        <f aca="false">IF(    OR(   AND($C30=10000000,    $A$17&lt;=CP$19,      ($A$17+$DH$17)&gt;CP$19    ),   AND($C30&lt;&gt;10000000,  CP$19&gt;=$DW30,    CP$19&lt;=($DX30+$DH$17)  ))   ,$DV30,  "")</f>
        <v/>
      </c>
      <c r="CQ30" s="111" t="str">
        <f aca="false">IF(    OR(   AND($C30=10000000,    $A$17&lt;=CQ$19,      ($A$17+$DH$17)&gt;CQ$19    ),   AND($C30&lt;&gt;10000000,  CQ$19&gt;=$DW30,    CQ$19&lt;=($DX30+$DH$17)  ))   ,$DV30,  "")</f>
        <v/>
      </c>
      <c r="CR30" s="111" t="str">
        <f aca="false">IF(    OR(   AND($C30=10000000,    $A$17&lt;=CR$19,      ($A$17+$DH$17)&gt;CR$19    ),   AND($C30&lt;&gt;10000000,  CR$19&gt;=$DW30,    CR$19&lt;=($DX30+$DH$17)  ))   ,$DV30,  "")</f>
        <v/>
      </c>
      <c r="CS30" s="111" t="str">
        <f aca="false">IF(    OR(   AND($C30=10000000,    $A$17&lt;=CS$19,      ($A$17+$DH$17)&gt;CS$19    ),   AND($C30&lt;&gt;10000000,  CS$19&gt;=$DW30,    CS$19&lt;=($DX30+$DH$17)  ))   ,$DV30,  "")</f>
        <v/>
      </c>
      <c r="CT30" s="111" t="str">
        <f aca="false">IF(    OR(   AND($C30=10000000,    $A$17&lt;=CT$19,      ($A$17+$DH$17)&gt;CT$19    ),   AND($C30&lt;&gt;10000000,  CT$19&gt;=$DW30,    CT$19&lt;=($DX30+$DH$17)  ))   ,$DV30,  "")</f>
        <v/>
      </c>
      <c r="CU30" s="111" t="str">
        <f aca="false">IF(    OR(   AND($C30=10000000,    $A$17&lt;=CU$19,      ($A$17+$DH$17)&gt;CU$19    ),   AND($C30&lt;&gt;10000000,  CU$19&gt;=$DW30,    CU$19&lt;=($DX30+$DH$17)  ))   ,$DV30,  "")</f>
        <v/>
      </c>
      <c r="CV30" s="111" t="str">
        <f aca="false">IF(    OR(   AND($C30=10000000,    $A$17&lt;=CV$19,      ($A$17+$DH$17)&gt;CV$19    ),   AND($C30&lt;&gt;10000000,  CV$19&gt;=$DW30,    CV$19&lt;=($DX30+$DH$17)  ))   ,$DV30,  "")</f>
        <v/>
      </c>
      <c r="CW30" s="111" t="str">
        <f aca="false">IF(    OR(   AND($C30=10000000,    $A$17&lt;=CW$19,      ($A$17+$DH$17)&gt;CW$19    ),   AND($C30&lt;&gt;10000000,  CW$19&gt;=$DW30,    CW$19&lt;=($DX30+$DH$17)  ))   ,$DV30,  "")</f>
        <v/>
      </c>
      <c r="CX30" s="111" t="str">
        <f aca="false">IF(    OR(   AND($C30=10000000,    $A$17&lt;=CX$19,      ($A$17+$DH$17)&gt;CX$19    ),   AND($C30&lt;&gt;10000000,  CX$19&gt;=$DW30,    CX$19&lt;=($DX30+$DH$17)  ))   ,$DV30,  "")</f>
        <v/>
      </c>
      <c r="CY30" s="111" t="str">
        <f aca="false">IF(    OR(   AND($C30=10000000,    $A$17&lt;=CY$19,      ($A$17+$DH$17)&gt;CY$19    ),   AND($C30&lt;&gt;10000000,  CY$19&gt;=$DW30,    CY$19&lt;=($DX30+$DH$17)  ))   ,$DV30,  "")</f>
        <v/>
      </c>
      <c r="CZ30" s="111" t="str">
        <f aca="false">IF(    OR(   AND($C30=10000000,    $A$17&lt;=CZ$19,      ($A$17+$DH$17)&gt;CZ$19    ),   AND($C30&lt;&gt;10000000,  CZ$19&gt;=$DW30,    CZ$19&lt;=($DX30+$DH$17)  ))   ,$DV30,  "")</f>
        <v/>
      </c>
      <c r="DA30" s="111" t="str">
        <f aca="false">IF(    OR(   AND($C30=10000000,    $A$17&lt;=DA$19,      ($A$17+$DH$17)&gt;DA$19    ),   AND($C30&lt;&gt;10000000,  DA$19&gt;=$DW30,    DA$19&lt;=($DX30+$DH$17)  ))   ,$DV30,  "")</f>
        <v/>
      </c>
      <c r="DB30" s="111" t="str">
        <f aca="false">IF(    OR(   AND($C30=10000000,    $A$17&lt;=DB$19,      ($A$17+$DH$17)&gt;DB$19    ),   AND($C30&lt;&gt;10000000,  DB$19&gt;=$DW30,    DB$19&lt;=($DX30+$DH$17)  ))   ,$DV30,  "")</f>
        <v/>
      </c>
      <c r="DC30" s="111" t="str">
        <f aca="false">IF(    OR(   AND($C30=10000000,    $A$17&lt;=DC$19,      ($A$17+$DH$17)&gt;DC$19    ),   AND($C30&lt;&gt;10000000,  DC$19&gt;=$DW30,    DC$19&lt;=($DX30+$DH$17)  ))   ,$DV30,  "")</f>
        <v/>
      </c>
      <c r="DD30" s="111" t="str">
        <f aca="false">IF(    OR(   AND($C30=10000000,    $A$17&lt;=DD$19,      ($A$17+$DH$17)&gt;DD$19    ),   AND($C30&lt;&gt;10000000,  DD$19&gt;=$DW30,    DD$19&lt;=($DX30+$DH$17)  ))   ,$DV30,  "")</f>
        <v/>
      </c>
      <c r="DE30" s="111" t="str">
        <f aca="false">IF(    OR(   AND($C30=10000000,    $A$17&lt;=DE$19,      ($A$17+$DH$17)&gt;DE$19    ),   AND($C30&lt;&gt;10000000,  DE$19&gt;=$DW30,    DE$19&lt;=($DX30+$DH$17)  ))   ,$DV30,  "")</f>
        <v/>
      </c>
      <c r="DF30" s="111" t="str">
        <f aca="false">IF(    OR(   AND($C30=10000000,    $A$17&lt;=DF$19,      ($A$17+$DH$17)&gt;DF$19    ),   AND($C30&lt;&gt;10000000,  DF$19&gt;=$DW30,    DF$19&lt;=($DX30+$DH$17)  ))   ,$DV30,  "")</f>
        <v/>
      </c>
      <c r="DG30" s="111" t="str">
        <f aca="false">IF(    OR(   AND($C30=10000000,    $A$17&lt;=DG$19,      ($A$17+$DH$17)&gt;DG$19    ),   AND($C30&lt;&gt;10000000,  DG$19&gt;=$DW30,    DG$19&lt;=($DX30+$DH$17)  ))   ,$DV30,  "")</f>
        <v/>
      </c>
      <c r="DH30" s="111" t="str">
        <f aca="false">IF(    OR(   AND($C30=10000000,    $A$17&lt;=DH$19,      ($A$17+$DH$17)&gt;DH$19    ),   AND($C30&lt;&gt;10000000,  DH$19&gt;=$DW30,    DH$19&lt;=($DX30+$DH$17)  ))   ,$DV30,  "")</f>
        <v/>
      </c>
      <c r="DI30" s="112" t="str">
        <f aca="false">IF(BB30="","",IF(ISERROR(FIND(CHAR(10),BB30,1)),BB30,LEFT(BB30,FIND(CHAR(10),BB30,1))))</f>
        <v/>
      </c>
      <c r="DJ30" s="53" t="str">
        <f aca="false">IF(BB30="","",IFERROR(RIGHT(BB30,LEN(BB30)-FIND("@@@",SUBSTITUTE(BB30,CHAR(10),"@@@",LEN(BB30)-LEN(SUBSTITUTE(BB30,CHAR(10),""))),1)),BB30))</f>
        <v/>
      </c>
      <c r="DK30" s="53" t="str">
        <f aca="false">IF(BC30="","",IFERROR(RIGHT(BC30,LEN(BC30)-FIND("@@@",SUBSTITUTE(BC30,CHAR(10),"@@@",LEN(BC30)-LEN(SUBSTITUTE(BC30,CHAR(10),""))),1)),BC30))</f>
        <v/>
      </c>
      <c r="DL30" s="113" t="str">
        <f aca="false">IFERROR(DATE(("20"&amp;MID(DI30,7,2))*1,MID(DI30,4,2)*1,MID(DI30,1,2)*1),"none")</f>
        <v>none</v>
      </c>
      <c r="DM30" s="113" t="str">
        <f aca="false">IFERROR(DATE(("20"&amp;MID(DJ30,7,2))*1,MID(DJ30,4,2)*1,MID(DJ30,1,2)*1),"none")</f>
        <v>none</v>
      </c>
      <c r="DN30" s="113" t="n">
        <f aca="false">IF(DL30&lt;&gt;"none",DL30,DATE(1900,1,1))</f>
        <v>2</v>
      </c>
      <c r="DO30" s="113" t="n">
        <f aca="false">IF(DM30&lt;&gt;"none",DM30,DN30)</f>
        <v>2</v>
      </c>
      <c r="DP30" s="114" t="n">
        <f aca="false">_xlfn.DAYS($A$17,DN30)</f>
        <v>45332</v>
      </c>
      <c r="DQ30" s="114" t="n">
        <f aca="false">_xlfn.DAYS($A$17, DO30)</f>
        <v>45332</v>
      </c>
      <c r="DR30" s="51" t="n">
        <f aca="false">IF(DO30&lt;&gt;"",INT(DQ30/7),0)</f>
        <v>6476</v>
      </c>
      <c r="DS30" s="114" t="n">
        <f aca="false">IF(M30="Overdue",_xlfn.DAYS($A$17,AL30),0)</f>
        <v>0</v>
      </c>
      <c r="DT30" s="114" t="n">
        <f aca="false">IF(AH30="Project",_xlfn.DAYS(AL30,$A$17),0)</f>
        <v>0</v>
      </c>
      <c r="DU30" s="51" t="str">
        <f aca="false">IFERROR(INDEX(Static!$D$5:$E$11,MATCH(AH30,Static!$D$5:$D$11,0),2),"")</f>
        <v/>
      </c>
      <c r="DV30" s="51" t="str">
        <f aca="false">IF(C30=10000000,"Red",IF(OR(C30=11000000,C30=12000000),"Black",IF(C30=11100000,"Dark",IF(AND(C30=12100000,M30="Completed"),"Green",IF(AND(C30=12100000,M30="Overdue"),"Red",IF(C30=12100000,"Dark",IF(AND(C30=12110000,M30="Overdue"),"LightRed",IF(AND(C30=12110000,M30="Completed"),"LightGreen",IF(OR(C30=11110000,C30=12110000),"Light",IF(AND(C30=12111000,M30="Overdue"),"SoftRed",IF(AND(C30=12111000,M30="Completed"),"SoftGreen",IF(OR(C30=11111000,C30=12111000),"Grey",""))))))))))))</f>
        <v/>
      </c>
      <c r="DW30" s="49" t="n">
        <f aca="false">IF(AK30&lt;&gt;"",AK30,$BI$19)</f>
        <v>44927</v>
      </c>
      <c r="DX30" s="49" t="n">
        <f aca="false">IF(AL30&lt;&gt;"",AL30,$DH$19)</f>
        <v>45657</v>
      </c>
      <c r="DY30" s="79" t="s">
        <v>450</v>
      </c>
    </row>
    <row r="31" customFormat="false" ht="14.15" hidden="false" customHeight="true" outlineLevel="0" collapsed="false">
      <c r="A31" s="63"/>
      <c r="B31" s="53" t="n">
        <f aca="false">AH31</f>
        <v>0</v>
      </c>
      <c r="C31" s="51" t="n">
        <f aca="false">IFERROR(INDEX(Static!$D$5:$F$11,MATCH(AH31,Static!$D$5:$D$11,0),3),90000000)</f>
        <v>90000000</v>
      </c>
      <c r="D31" s="51" t="str">
        <f aca="false">MID(C31,2,1)</f>
        <v>0</v>
      </c>
      <c r="E31" s="53" t="str">
        <f aca="false">AB31</f>
        <v/>
      </c>
      <c r="F31" s="51" t="str">
        <f aca="false">IF(B31="Venture",0,IF(OR(B31="Project",B31="Stream",B31="Action"),AK31,""))</f>
        <v/>
      </c>
      <c r="G31" s="51" t="n">
        <f aca="false">AS31</f>
        <v>0</v>
      </c>
      <c r="H31" s="51" t="str">
        <f aca="false">IF(B31="Venture",0,IFERROR(INDEX($E$20:$F$55,MATCH(G31,$E$20:$E$55,0),2),""))</f>
        <v/>
      </c>
      <c r="I31" s="51" t="str">
        <f aca="false">IF(B31="Venture",0,IFERROR(INDEX($E$20:$G$55,MATCH(G31,$E$20:$E$55,0),3),""))</f>
        <v/>
      </c>
      <c r="J31" s="51" t="str">
        <f aca="false">IF(B31="Venture",0,IFERROR(INDEX($E$20:$H$55,MATCH(G31,$E$20:$E$55,0),4),""))</f>
        <v/>
      </c>
      <c r="K31" s="51" t="n">
        <f aca="false">IF(B31="Venture",0,IFERROR(INDEX($E$20:$G$55,MATCH(I31,$E$20:$E$55,0),3),""))</f>
        <v>0</v>
      </c>
      <c r="L31" s="51" t="str">
        <f aca="false">IF(M31="Completed","Completed","Ongoing")</f>
        <v>Ongoing</v>
      </c>
      <c r="M31" s="51" t="n">
        <f aca="false">IF(OR(AH31="Venture",AH31="Routine",AH31="Run Goal", AH31="Chg Goal", AH31=""),AH31,IF(AN31&lt;&gt;"","Completed",IF(AM31&lt;&gt;"","Pending",IF(AND(AL31&lt;&gt;"",$A$17&gt;AL31),"Overdue",IF($A$17&gt;AK31,"Started","Open")))))</f>
        <v>0</v>
      </c>
      <c r="N31" s="50" t="n">
        <f aca="false">((LEN($BC31)-LEN(SUBSTITUTE($BC31,CHAR(10)&amp;". ","")))/3)+IF(LEFT(TRIM($BC31),2)=". ",1,0)</f>
        <v>0</v>
      </c>
      <c r="O31" s="50" t="n">
        <f aca="false">((LEN($BC31)-LEN(SUBSTITUTE($BC31,CHAR(10)&amp;"/ ","")))/3)+IF(LEFT(TRIM($BC31),2)="/ ",1,0)</f>
        <v>0</v>
      </c>
      <c r="P31" s="50" t="n">
        <f aca="false">((LEN($BC31)-LEN(SUBSTITUTE($BC31,CHAR(10)&amp;"~ ","")))/3)+IF(LEFT(TRIM($BC31),2)="~ ",1,0)</f>
        <v>0</v>
      </c>
      <c r="Q31" s="50" t="n">
        <f aca="false">((LEN($BC31)-LEN(SUBSTITUTE($BC31,CHAR(10)&amp;"! ","")))/3)+IF(LEFT(TRIM($BC31),2)="! ",1,0)</f>
        <v>0</v>
      </c>
      <c r="R31" s="50" t="n">
        <f aca="false">((LEN($BC31)-LEN(SUBSTITUTE($BC31,CHAR(10)&amp;"x ","")))/3)+IF(LEFT(TRIM($BC31),2)="x ",1,0)</f>
        <v>0</v>
      </c>
      <c r="S31" s="50" t="n">
        <f aca="false">SUM(N31:R31)</f>
        <v>0</v>
      </c>
      <c r="T31" s="51" t="n">
        <f aca="false">IF(OR($B31="Drill",$B31="Action"),$AO31,0)</f>
        <v>0</v>
      </c>
      <c r="U31" s="51" t="n">
        <f aca="false">IF(OR($B31="Sub",$B31="Stream"),$AO31+SUMIFS($AO$20:$AO$55,$G$20:$G$55,$E31),0)</f>
        <v>0</v>
      </c>
      <c r="V31" s="51" t="n">
        <f aca="false">IF(OR($B31="Routine",$B31="Project"),$AO31+SUMIFS($U$20:$U$55,$G$20:$G$55,$E31),0)</f>
        <v>0</v>
      </c>
      <c r="W31" s="51" t="n">
        <f aca="false">IF($B31="Venture",$AO31+SUMIFS($V$20:$V$55,$G$20:$G$55,$E31),0)</f>
        <v>0</v>
      </c>
      <c r="X31" s="51" t="n">
        <f aca="false">IF(OR($B31="Drill",$B31="Action"),$AP31,0)</f>
        <v>0</v>
      </c>
      <c r="Y31" s="51" t="n">
        <f aca="false">IF(OR($B31="Sub",$B31="Stream"),$AP31+SUMIFS($AP$20:$AP$55,$G$20:$G$55,$E31),0)</f>
        <v>0</v>
      </c>
      <c r="Z31" s="51" t="n">
        <f aca="false">IF(OR($B31="Routine",$B31="Project"),$AP31+SUMIFS($Y$20:$Y$55,$G$20:$G$55,$E31),0)</f>
        <v>0</v>
      </c>
      <c r="AA31" s="51" t="n">
        <f aca="false">IF($B31="Venture",$AP31+SUMIFS($Z$20:$Z$55,$G$20:$G$55,$E31),0)</f>
        <v>0</v>
      </c>
      <c r="AB31" s="51" t="str">
        <f aca="false">IF(OR(AH31="Venture", AH31="Run Goal", AH31="Chg Goal"),AI31,AH31&amp;AI31&amp;AR31)</f>
        <v/>
      </c>
      <c r="AC31" s="53" t="str">
        <f aca="false">"  -  "&amp;IF(C31=90000000,9&amp;"Z",D31&amp;AE31&amp;IF(OR(B31="Run Goal",B31="Chg Goal", B31="Venture"),"",IF(OR(B31="Routine",B31="Project"),F31&amp;E31,  IF(OR(B31="Sub",B31="Stream"),H31&amp;G31&amp;F31&amp;E31,IF(OR(B31="Drill",B31="Action"),J31&amp;I31&amp;H31&amp;G31&amp;F31&amp;E31,     "") )    )))</f>
        <v>  -  9Z</v>
      </c>
      <c r="AD31" s="51" t="str">
        <f aca="false">IF(AND(AM31="",AN31=""),"Y","N")</f>
        <v>Y</v>
      </c>
      <c r="AE31" s="103" t="str">
        <f aca="false">IF(OR(AF31="Y",AF31="Y"),AF31,IF(DM31="none","N",IF(DM31&gt;($A$17-WEEKDAY($A$17,2)-(7*$AE$18)),"Y","N")))</f>
        <v>N</v>
      </c>
      <c r="AF31" s="104"/>
      <c r="AG31" s="105"/>
      <c r="AH31" s="79"/>
      <c r="AI31" s="56"/>
      <c r="AJ31" s="56"/>
      <c r="AK31" s="106"/>
      <c r="AL31" s="106"/>
      <c r="AM31" s="106"/>
      <c r="AN31" s="106"/>
      <c r="AO31" s="107"/>
      <c r="AP31" s="107"/>
      <c r="AQ31" s="79"/>
      <c r="AR31" s="79"/>
      <c r="AS31" s="79"/>
      <c r="AT31" s="79"/>
      <c r="AU31" s="79"/>
      <c r="AV31" s="79"/>
      <c r="AW31" s="79"/>
      <c r="AX31" s="79"/>
      <c r="AY31" s="79"/>
      <c r="AZ31" s="79"/>
      <c r="BA31" s="63"/>
      <c r="BB31" s="108"/>
      <c r="BC31" s="63"/>
      <c r="BD31" s="51" t="n">
        <f aca="false">SUM(N31:Q31)</f>
        <v>0</v>
      </c>
      <c r="BE31" s="59" t="n">
        <f aca="false">IF(AI31="",1,IF(S31&lt;&gt;0,(O31*0.5+R31)/S31,1))</f>
        <v>1</v>
      </c>
      <c r="BF31" s="81" t="str">
        <f aca="false">IF(AH31="","",IF(AH31="Venture",W31,IF(OR(AH31="Chg Goal",AH31="RUn Goal"),V31,IF(OR(AH31="ROutine",AH31="Project"),V31,IF(OR(AH31="Sub",AH31="Stream"),U31,IF(OR(AH31="Drill",AH31="Action"),T31,0))))))</f>
        <v/>
      </c>
      <c r="BG31" s="81" t="str">
        <f aca="false">IF(AH31="","",IF(AH31="Venture",AA31,IF(OR(AH31="Chg Goal",AH31="RUn Goal"),Z31,IF(OR(AH31="ROutine",AH31="Project"),Z31,IF(OR(AH31="Sub",AH31="Stream"),Y31,IF(OR(AH31="Drill",AH31="Action"),X31,0))))))</f>
        <v/>
      </c>
      <c r="BH31" s="109" t="str">
        <f aca="false">IF(AI31="","",IF(OR(BF31=0, BF31=""),0,BG31/BF31))</f>
        <v/>
      </c>
      <c r="BI31" s="110" t="str">
        <f aca="false">IF(    OR(   AND($C31=10000000,    BI$19&gt;=$A$17,      BI$19 &lt;($A$17+$DH$17)   ),   AND($C31&lt;&gt;10000000,  BI$19&gt;=$DW31,    BI$19&lt;=($DX31+$DH$17)  ))   ,$DV31,  "")</f>
        <v/>
      </c>
      <c r="BJ31" s="111" t="str">
        <f aca="false">IF(    OR(   AND($C31=10000000,    $A$17&lt;=BJ$19,      ($A$17+$DH$17)&gt;BJ$19    ),   AND($C31&lt;&gt;10000000,  BJ$19&gt;=$DW31,    BJ$19&lt;=($DX31+$DH$17)  ))   ,$DV31,  "")</f>
        <v/>
      </c>
      <c r="BK31" s="111" t="str">
        <f aca="false">IF(    OR(   AND($C31=10000000,    $A$17&lt;=BK$19,      ($A$17+$DH$17)&gt;BK$19    ),   AND($C31&lt;&gt;10000000,  BK$19&gt;=$DW31,    BK$19&lt;=($DX31+$DH$17)  ))   ,$DV31,  "")</f>
        <v/>
      </c>
      <c r="BL31" s="111" t="str">
        <f aca="false">IF(    OR(   AND($C31=10000000,    $A$17&lt;=BL$19,      ($A$17+$DH$17)&gt;BL$19    ),   AND($C31&lt;&gt;10000000,  BL$19&gt;=$DW31,    BL$19&lt;=($DX31+$DH$17)  ))   ,$DV31,  "")</f>
        <v/>
      </c>
      <c r="BM31" s="111" t="str">
        <f aca="false">IF(    OR(   AND($C31=10000000,    $A$17&lt;=BM$19,      ($A$17+$DH$17)&gt;BM$19    ),   AND($C31&lt;&gt;10000000,  BM$19&gt;=$DW31,    BM$19&lt;=($DX31+$DH$17)  ))   ,$DV31,  "")</f>
        <v/>
      </c>
      <c r="BN31" s="111" t="str">
        <f aca="false">IF(    OR(   AND($C31=10000000,    $A$17&lt;=BN$19,      ($A$17+$DH$17)&gt;BN$19    ),   AND($C31&lt;&gt;10000000,  BN$19&gt;=$DW31,    BN$19&lt;=($DX31+$DH$17)  ))   ,$DV31,  "")</f>
        <v/>
      </c>
      <c r="BO31" s="111" t="str">
        <f aca="false">IF(    OR(   AND($C31=10000000,    $A$17&lt;=BO$19,      ($A$17+$DH$17)&gt;BO$19    ),   AND($C31&lt;&gt;10000000,  BO$19&gt;=$DW31,    BO$19&lt;=($DX31+$DH$17)  ))   ,$DV31,  "")</f>
        <v/>
      </c>
      <c r="BP31" s="111" t="str">
        <f aca="false">IF(    OR(   AND($C31=10000000,    $A$17&lt;=BP$19,      ($A$17+$DH$17)&gt;BP$19    ),   AND($C31&lt;&gt;10000000,  BP$19&gt;=$DW31,    BP$19&lt;=($DX31+$DH$17)  ))   ,$DV31,  "")</f>
        <v/>
      </c>
      <c r="BQ31" s="111" t="str">
        <f aca="false">IF(    OR(   AND($C31=10000000,    $A$17&lt;=BQ$19,      ($A$17+$DH$17)&gt;BQ$19    ),   AND($C31&lt;&gt;10000000,  BQ$19&gt;=$DW31,    BQ$19&lt;=($DX31+$DH$17)  ))   ,$DV31,  "")</f>
        <v/>
      </c>
      <c r="BR31" s="111" t="str">
        <f aca="false">IF(    OR(   AND($C31=10000000,    $A$17&lt;=BR$19,      ($A$17+$DH$17)&gt;BR$19    ),   AND($C31&lt;&gt;10000000,  BR$19&gt;=$DW31,    BR$19&lt;=($DX31+$DH$17)  ))   ,$DV31,  "")</f>
        <v/>
      </c>
      <c r="BS31" s="111" t="str">
        <f aca="false">IF(    OR(   AND($C31=10000000,    $A$17&lt;=BS$19,      ($A$17+$DH$17)&gt;BS$19    ),   AND($C31&lt;&gt;10000000,  BS$19&gt;=$DW31,    BS$19&lt;=($DX31+$DH$17)  ))   ,$DV31,  "")</f>
        <v/>
      </c>
      <c r="BT31" s="111" t="str">
        <f aca="false">IF(    OR(   AND($C31=10000000,    $A$17&lt;=BT$19,      ($A$17+$DH$17)&gt;BT$19    ),   AND($C31&lt;&gt;10000000,  BT$19&gt;=$DW31,    BT$19&lt;=($DX31+$DH$17)  ))   ,$DV31,  "")</f>
        <v/>
      </c>
      <c r="BU31" s="111" t="str">
        <f aca="false">IF(    OR(   AND($C31=10000000,    $A$17&lt;=BU$19,      ($A$17+$DH$17)&gt;BU$19    ),   AND($C31&lt;&gt;10000000,  BU$19&gt;=$DW31,    BU$19&lt;=($DX31+$DH$17)  ))   ,$DV31,  "")</f>
        <v/>
      </c>
      <c r="BV31" s="111" t="str">
        <f aca="false">IF(    OR(   AND($C31=10000000,    $A$17&lt;=BV$19,      ($A$17+$DH$17)&gt;BV$19    ),   AND($C31&lt;&gt;10000000,  BV$19&gt;=$DW31,    BV$19&lt;=($DX31+$DH$17)  ))   ,$DV31,  "")</f>
        <v/>
      </c>
      <c r="BW31" s="111" t="str">
        <f aca="false">IF(    OR(   AND($C31=10000000,    $A$17&lt;=BW$19,      ($A$17+$DH$17)&gt;BW$19    ),   AND($C31&lt;&gt;10000000,  BW$19&gt;=$DW31,    BW$19&lt;=($DX31+$DH$17)  ))   ,$DV31,  "")</f>
        <v/>
      </c>
      <c r="BX31" s="111" t="str">
        <f aca="false">IF(    OR(   AND($C31=10000000,    $A$17&lt;=BX$19,      ($A$17+$DH$17)&gt;BX$19    ),   AND($C31&lt;&gt;10000000,  BX$19&gt;=$DW31,    BX$19&lt;=($DX31+$DH$17)  ))   ,$DV31,  "")</f>
        <v/>
      </c>
      <c r="BY31" s="111" t="str">
        <f aca="false">IF(    OR(   AND($C31=10000000,    $A$17&lt;=BY$19,      ($A$17+$DH$17)&gt;BY$19    ),   AND($C31&lt;&gt;10000000,  BY$19&gt;=$DW31,    BY$19&lt;=($DX31+$DH$17)  ))   ,$DV31,  "")</f>
        <v/>
      </c>
      <c r="BZ31" s="111" t="str">
        <f aca="false">IF(    OR(   AND($C31=10000000,    $A$17&lt;=BZ$19,      ($A$17+$DH$17)&gt;BZ$19    ),   AND($C31&lt;&gt;10000000,  BZ$19&gt;=$DW31,    BZ$19&lt;=($DX31+$DH$17)  ))   ,$DV31,  "")</f>
        <v/>
      </c>
      <c r="CA31" s="111" t="str">
        <f aca="false">IF(    OR(   AND($C31=10000000,    $A$17&lt;=CA$19,      ($A$17+$DH$17)&gt;CA$19    ),   AND($C31&lt;&gt;10000000,  CA$19&gt;=$DW31,    CA$19&lt;=($DX31+$DH$17)  ))   ,$DV31,  "")</f>
        <v/>
      </c>
      <c r="CB31" s="111" t="str">
        <f aca="false">IF(    OR(   AND($C31=10000000,    $A$17&lt;=CB$19,      ($A$17+$DH$17)&gt;CB$19    ),   AND($C31&lt;&gt;10000000,  CB$19&gt;=$DW31,    CB$19&lt;=($DX31+$DH$17)  ))   ,$DV31,  "")</f>
        <v/>
      </c>
      <c r="CC31" s="111" t="str">
        <f aca="false">IF(    OR(   AND($C31=10000000,    $A$17&lt;=CC$19,      ($A$17+$DH$17)&gt;CC$19    ),   AND($C31&lt;&gt;10000000,  CC$19&gt;=$DW31,    CC$19&lt;=($DX31+$DH$17)  ))   ,$DV31,  "")</f>
        <v/>
      </c>
      <c r="CD31" s="111" t="str">
        <f aca="false">IF(    OR(   AND($C31=10000000,    $A$17&lt;=CD$19,      ($A$17+$DH$17)&gt;CD$19    ),   AND($C31&lt;&gt;10000000,  CD$19&gt;=$DW31,    CD$19&lt;=($DX31+$DH$17)  ))   ,$DV31,  "")</f>
        <v/>
      </c>
      <c r="CE31" s="111" t="str">
        <f aca="false">IF(    OR(   AND($C31=10000000,    $A$17&lt;=CE$19,      ($A$17+$DH$17)&gt;CE$19    ),   AND($C31&lt;&gt;10000000,  CE$19&gt;=$DW31,    CE$19&lt;=($DX31+$DH$17)  ))   ,$DV31,  "")</f>
        <v/>
      </c>
      <c r="CF31" s="111" t="str">
        <f aca="false">IF(    OR(   AND($C31=10000000,    $A$17&lt;=CF$19,      ($A$17+$DH$17)&gt;CF$19    ),   AND($C31&lt;&gt;10000000,  CF$19&gt;=$DW31,    CF$19&lt;=($DX31+$DH$17)  ))   ,$DV31,  "")</f>
        <v/>
      </c>
      <c r="CG31" s="111" t="str">
        <f aca="false">IF(    OR(   AND($C31=10000000,    $A$17&lt;=CG$19,      ($A$17+$DH$17)&gt;CG$19    ),   AND($C31&lt;&gt;10000000,  CG$19&gt;=$DW31,    CG$19&lt;=($DX31+$DH$17)  ))   ,$DV31,  "")</f>
        <v/>
      </c>
      <c r="CH31" s="111" t="str">
        <f aca="false">IF(    OR(   AND($C31=10000000,    $A$17&lt;=CH$19,      ($A$17+$DH$17)&gt;CH$19    ),   AND($C31&lt;&gt;10000000,  CH$19&gt;=$DW31,    CH$19&lt;=($DX31+$DH$17)  ))   ,$DV31,  "")</f>
        <v/>
      </c>
      <c r="CI31" s="111" t="str">
        <f aca="false">IF(    OR(   AND($C31=10000000,    $A$17&lt;=CI$19,      ($A$17+$DH$17)&gt;CI$19    ),   AND($C31&lt;&gt;10000000,  CI$19&gt;=$DW31,    CI$19&lt;=($DX31+$DH$17)  ))   ,$DV31,  "")</f>
        <v/>
      </c>
      <c r="CJ31" s="111" t="str">
        <f aca="false">IF(    OR(   AND($C31=10000000,    $A$17&lt;=CJ$19,      ($A$17+$DH$17)&gt;CJ$19    ),   AND($C31&lt;&gt;10000000,  CJ$19&gt;=$DW31,    CJ$19&lt;=($DX31+$DH$17)  ))   ,$DV31,  "")</f>
        <v/>
      </c>
      <c r="CK31" s="111" t="str">
        <f aca="false">IF(    OR(   AND($C31=10000000,    $A$17&lt;=CK$19,      ($A$17+$DH$17)&gt;CK$19    ),   AND($C31&lt;&gt;10000000,  CK$19&gt;=$DW31,    CK$19&lt;=($DX31+$DH$17)  ))   ,$DV31,  "")</f>
        <v/>
      </c>
      <c r="CL31" s="111" t="str">
        <f aca="false">IF(    OR(   AND($C31=10000000,    $A$17&lt;=CL$19,      ($A$17+$DH$17)&gt;CL$19    ),   AND($C31&lt;&gt;10000000,  CL$19&gt;=$DW31,    CL$19&lt;=($DX31+$DH$17)  ))   ,$DV31,  "")</f>
        <v/>
      </c>
      <c r="CM31" s="111" t="str">
        <f aca="false">IF(    OR(   AND($C31=10000000,    $A$17&lt;=CM$19,      ($A$17+$DH$17)&gt;CM$19    ),   AND($C31&lt;&gt;10000000,  CM$19&gt;=$DW31,    CM$19&lt;=($DX31+$DH$17)  ))   ,$DV31,  "")</f>
        <v/>
      </c>
      <c r="CN31" s="111" t="str">
        <f aca="false">IF(    OR(   AND($C31=10000000,    $A$17&lt;=CN$19,      ($A$17+$DH$17)&gt;CN$19    ),   AND($C31&lt;&gt;10000000,  CN$19&gt;=$DW31,    CN$19&lt;=($DX31+$DH$17)  ))   ,$DV31,  "")</f>
        <v/>
      </c>
      <c r="CO31" s="111" t="str">
        <f aca="false">IF(    OR(   AND($C31=10000000,    $A$17&lt;=CO$19,      ($A$17+$DH$17)&gt;CO$19    ),   AND($C31&lt;&gt;10000000,  CO$19&gt;=$DW31,    CO$19&lt;=($DX31+$DH$17)  ))   ,$DV31,  "")</f>
        <v/>
      </c>
      <c r="CP31" s="111" t="str">
        <f aca="false">IF(    OR(   AND($C31=10000000,    $A$17&lt;=CP$19,      ($A$17+$DH$17)&gt;CP$19    ),   AND($C31&lt;&gt;10000000,  CP$19&gt;=$DW31,    CP$19&lt;=($DX31+$DH$17)  ))   ,$DV31,  "")</f>
        <v/>
      </c>
      <c r="CQ31" s="111" t="str">
        <f aca="false">IF(    OR(   AND($C31=10000000,    $A$17&lt;=CQ$19,      ($A$17+$DH$17)&gt;CQ$19    ),   AND($C31&lt;&gt;10000000,  CQ$19&gt;=$DW31,    CQ$19&lt;=($DX31+$DH$17)  ))   ,$DV31,  "")</f>
        <v/>
      </c>
      <c r="CR31" s="111" t="str">
        <f aca="false">IF(    OR(   AND($C31=10000000,    $A$17&lt;=CR$19,      ($A$17+$DH$17)&gt;CR$19    ),   AND($C31&lt;&gt;10000000,  CR$19&gt;=$DW31,    CR$19&lt;=($DX31+$DH$17)  ))   ,$DV31,  "")</f>
        <v/>
      </c>
      <c r="CS31" s="111" t="str">
        <f aca="false">IF(    OR(   AND($C31=10000000,    $A$17&lt;=CS$19,      ($A$17+$DH$17)&gt;CS$19    ),   AND($C31&lt;&gt;10000000,  CS$19&gt;=$DW31,    CS$19&lt;=($DX31+$DH$17)  ))   ,$DV31,  "")</f>
        <v/>
      </c>
      <c r="CT31" s="111" t="str">
        <f aca="false">IF(    OR(   AND($C31=10000000,    $A$17&lt;=CT$19,      ($A$17+$DH$17)&gt;CT$19    ),   AND($C31&lt;&gt;10000000,  CT$19&gt;=$DW31,    CT$19&lt;=($DX31+$DH$17)  ))   ,$DV31,  "")</f>
        <v/>
      </c>
      <c r="CU31" s="111" t="str">
        <f aca="false">IF(    OR(   AND($C31=10000000,    $A$17&lt;=CU$19,      ($A$17+$DH$17)&gt;CU$19    ),   AND($C31&lt;&gt;10000000,  CU$19&gt;=$DW31,    CU$19&lt;=($DX31+$DH$17)  ))   ,$DV31,  "")</f>
        <v/>
      </c>
      <c r="CV31" s="111" t="str">
        <f aca="false">IF(    OR(   AND($C31=10000000,    $A$17&lt;=CV$19,      ($A$17+$DH$17)&gt;CV$19    ),   AND($C31&lt;&gt;10000000,  CV$19&gt;=$DW31,    CV$19&lt;=($DX31+$DH$17)  ))   ,$DV31,  "")</f>
        <v/>
      </c>
      <c r="CW31" s="111" t="str">
        <f aca="false">IF(    OR(   AND($C31=10000000,    $A$17&lt;=CW$19,      ($A$17+$DH$17)&gt;CW$19    ),   AND($C31&lt;&gt;10000000,  CW$19&gt;=$DW31,    CW$19&lt;=($DX31+$DH$17)  ))   ,$DV31,  "")</f>
        <v/>
      </c>
      <c r="CX31" s="111" t="str">
        <f aca="false">IF(    OR(   AND($C31=10000000,    $A$17&lt;=CX$19,      ($A$17+$DH$17)&gt;CX$19    ),   AND($C31&lt;&gt;10000000,  CX$19&gt;=$DW31,    CX$19&lt;=($DX31+$DH$17)  ))   ,$DV31,  "")</f>
        <v/>
      </c>
      <c r="CY31" s="111" t="str">
        <f aca="false">IF(    OR(   AND($C31=10000000,    $A$17&lt;=CY$19,      ($A$17+$DH$17)&gt;CY$19    ),   AND($C31&lt;&gt;10000000,  CY$19&gt;=$DW31,    CY$19&lt;=($DX31+$DH$17)  ))   ,$DV31,  "")</f>
        <v/>
      </c>
      <c r="CZ31" s="111" t="str">
        <f aca="false">IF(    OR(   AND($C31=10000000,    $A$17&lt;=CZ$19,      ($A$17+$DH$17)&gt;CZ$19    ),   AND($C31&lt;&gt;10000000,  CZ$19&gt;=$DW31,    CZ$19&lt;=($DX31+$DH$17)  ))   ,$DV31,  "")</f>
        <v/>
      </c>
      <c r="DA31" s="111" t="str">
        <f aca="false">IF(    OR(   AND($C31=10000000,    $A$17&lt;=DA$19,      ($A$17+$DH$17)&gt;DA$19    ),   AND($C31&lt;&gt;10000000,  DA$19&gt;=$DW31,    DA$19&lt;=($DX31+$DH$17)  ))   ,$DV31,  "")</f>
        <v/>
      </c>
      <c r="DB31" s="111" t="str">
        <f aca="false">IF(    OR(   AND($C31=10000000,    $A$17&lt;=DB$19,      ($A$17+$DH$17)&gt;DB$19    ),   AND($C31&lt;&gt;10000000,  DB$19&gt;=$DW31,    DB$19&lt;=($DX31+$DH$17)  ))   ,$DV31,  "")</f>
        <v/>
      </c>
      <c r="DC31" s="111" t="str">
        <f aca="false">IF(    OR(   AND($C31=10000000,    $A$17&lt;=DC$19,      ($A$17+$DH$17)&gt;DC$19    ),   AND($C31&lt;&gt;10000000,  DC$19&gt;=$DW31,    DC$19&lt;=($DX31+$DH$17)  ))   ,$DV31,  "")</f>
        <v/>
      </c>
      <c r="DD31" s="111" t="str">
        <f aca="false">IF(    OR(   AND($C31=10000000,    $A$17&lt;=DD$19,      ($A$17+$DH$17)&gt;DD$19    ),   AND($C31&lt;&gt;10000000,  DD$19&gt;=$DW31,    DD$19&lt;=($DX31+$DH$17)  ))   ,$DV31,  "")</f>
        <v/>
      </c>
      <c r="DE31" s="111" t="str">
        <f aca="false">IF(    OR(   AND($C31=10000000,    $A$17&lt;=DE$19,      ($A$17+$DH$17)&gt;DE$19    ),   AND($C31&lt;&gt;10000000,  DE$19&gt;=$DW31,    DE$19&lt;=($DX31+$DH$17)  ))   ,$DV31,  "")</f>
        <v/>
      </c>
      <c r="DF31" s="111" t="str">
        <f aca="false">IF(    OR(   AND($C31=10000000,    $A$17&lt;=DF$19,      ($A$17+$DH$17)&gt;DF$19    ),   AND($C31&lt;&gt;10000000,  DF$19&gt;=$DW31,    DF$19&lt;=($DX31+$DH$17)  ))   ,$DV31,  "")</f>
        <v/>
      </c>
      <c r="DG31" s="111" t="str">
        <f aca="false">IF(    OR(   AND($C31=10000000,    $A$17&lt;=DG$19,      ($A$17+$DH$17)&gt;DG$19    ),   AND($C31&lt;&gt;10000000,  DG$19&gt;=$DW31,    DG$19&lt;=($DX31+$DH$17)  ))   ,$DV31,  "")</f>
        <v/>
      </c>
      <c r="DH31" s="111" t="str">
        <f aca="false">IF(    OR(   AND($C31=10000000,    $A$17&lt;=DH$19,      ($A$17+$DH$17)&gt;DH$19    ),   AND($C31&lt;&gt;10000000,  DH$19&gt;=$DW31,    DH$19&lt;=($DX31+$DH$17)  ))   ,$DV31,  "")</f>
        <v/>
      </c>
      <c r="DI31" s="112" t="str">
        <f aca="false">IF(BB31="","",IF(ISERROR(FIND(CHAR(10),BB31,1)),BB31,LEFT(BB31,FIND(CHAR(10),BB31,1))))</f>
        <v/>
      </c>
      <c r="DJ31" s="53" t="str">
        <f aca="false">IF(BB31="","",IFERROR(RIGHT(BB31,LEN(BB31)-FIND("@@@",SUBSTITUTE(BB31,CHAR(10),"@@@",LEN(BB31)-LEN(SUBSTITUTE(BB31,CHAR(10),""))),1)),BB31))</f>
        <v/>
      </c>
      <c r="DK31" s="53" t="str">
        <f aca="false">IF(BC31="","",IFERROR(RIGHT(BC31,LEN(BC31)-FIND("@@@",SUBSTITUTE(BC31,CHAR(10),"@@@",LEN(BC31)-LEN(SUBSTITUTE(BC31,CHAR(10),""))),1)),BC31))</f>
        <v/>
      </c>
      <c r="DL31" s="113" t="str">
        <f aca="false">IFERROR(DATE(("20"&amp;MID(DI31,7,2))*1,MID(DI31,4,2)*1,MID(DI31,1,2)*1),"none")</f>
        <v>none</v>
      </c>
      <c r="DM31" s="113" t="str">
        <f aca="false">IFERROR(DATE(("20"&amp;MID(DJ31,7,2))*1,MID(DJ31,4,2)*1,MID(DJ31,1,2)*1),"none")</f>
        <v>none</v>
      </c>
      <c r="DN31" s="113" t="n">
        <f aca="false">IF(DL31&lt;&gt;"none",DL31,DATE(1900,1,1))</f>
        <v>2</v>
      </c>
      <c r="DO31" s="113" t="n">
        <f aca="false">IF(DM31&lt;&gt;"none",DM31,DN31)</f>
        <v>2</v>
      </c>
      <c r="DP31" s="114" t="n">
        <f aca="false">_xlfn.DAYS($A$17,DN31)</f>
        <v>45332</v>
      </c>
      <c r="DQ31" s="114" t="n">
        <f aca="false">_xlfn.DAYS($A$17, DO31)</f>
        <v>45332</v>
      </c>
      <c r="DR31" s="51" t="n">
        <f aca="false">IF(DO31&lt;&gt;"",INT(DQ31/7),0)</f>
        <v>6476</v>
      </c>
      <c r="DS31" s="114" t="n">
        <f aca="false">IF(M31="Overdue",_xlfn.DAYS($A$17,AL31),0)</f>
        <v>0</v>
      </c>
      <c r="DT31" s="114" t="n">
        <f aca="false">IF(AH31="Project",_xlfn.DAYS(AL31,$A$17),0)</f>
        <v>0</v>
      </c>
      <c r="DU31" s="51" t="str">
        <f aca="false">IFERROR(INDEX(Static!$D$5:$E$11,MATCH(AH31,Static!$D$5:$D$11,0),2),"")</f>
        <v/>
      </c>
      <c r="DV31" s="51" t="str">
        <f aca="false">IF(C31=10000000,"Red",IF(OR(C31=11000000,C31=12000000),"Black",IF(C31=11100000,"Dark",IF(AND(C31=12100000,M31="Completed"),"Green",IF(AND(C31=12100000,M31="Overdue"),"Red",IF(C31=12100000,"Dark",IF(AND(C31=12110000,M31="Overdue"),"LightRed",IF(AND(C31=12110000,M31="Completed"),"LightGreen",IF(OR(C31=11110000,C31=12110000),"Light",IF(AND(C31=12111000,M31="Overdue"),"SoftRed",IF(AND(C31=12111000,M31="Completed"),"SoftGreen",IF(OR(C31=11111000,C31=12111000),"Grey",""))))))))))))</f>
        <v/>
      </c>
      <c r="DW31" s="49" t="n">
        <f aca="false">IF(AK31&lt;&gt;"",AK31,$BI$19)</f>
        <v>44927</v>
      </c>
      <c r="DX31" s="49" t="n">
        <f aca="false">IF(AL31&lt;&gt;"",AL31,$DH$19)</f>
        <v>45657</v>
      </c>
      <c r="DY31" s="79" t="s">
        <v>450</v>
      </c>
    </row>
    <row r="32" customFormat="false" ht="14.15" hidden="false" customHeight="true" outlineLevel="0" collapsed="false">
      <c r="A32" s="63"/>
      <c r="B32" s="53" t="n">
        <f aca="false">AH32</f>
        <v>0</v>
      </c>
      <c r="C32" s="51" t="n">
        <f aca="false">IFERROR(INDEX(Static!$D$5:$F$11,MATCH(AH32,Static!$D$5:$D$11,0),3),90000000)</f>
        <v>90000000</v>
      </c>
      <c r="D32" s="51" t="str">
        <f aca="false">MID(C32,2,1)</f>
        <v>0</v>
      </c>
      <c r="E32" s="53" t="str">
        <f aca="false">AB32</f>
        <v/>
      </c>
      <c r="F32" s="51" t="str">
        <f aca="false">IF(B32="Venture",0,IF(OR(B32="Project",B32="Stream",B32="Action"),AK32,""))</f>
        <v/>
      </c>
      <c r="G32" s="51" t="n">
        <f aca="false">AS32</f>
        <v>0</v>
      </c>
      <c r="H32" s="51" t="str">
        <f aca="false">IF(B32="Venture",0,IFERROR(INDEX($E$20:$F$55,MATCH(G32,$E$20:$E$55,0),2),""))</f>
        <v/>
      </c>
      <c r="I32" s="51" t="str">
        <f aca="false">IF(B32="Venture",0,IFERROR(INDEX($E$20:$G$55,MATCH(G32,$E$20:$E$55,0),3),""))</f>
        <v/>
      </c>
      <c r="J32" s="51" t="str">
        <f aca="false">IF(B32="Venture",0,IFERROR(INDEX($E$20:$H$55,MATCH(G32,$E$20:$E$55,0),4),""))</f>
        <v/>
      </c>
      <c r="K32" s="51" t="n">
        <f aca="false">IF(B32="Venture",0,IFERROR(INDEX($E$20:$G$55,MATCH(I32,$E$20:$E$55,0),3),""))</f>
        <v>0</v>
      </c>
      <c r="L32" s="51" t="str">
        <f aca="false">IF(M32="Completed","Completed","Ongoing")</f>
        <v>Ongoing</v>
      </c>
      <c r="M32" s="51" t="n">
        <f aca="false">IF(OR(AH32="Venture",AH32="Routine",AH32="Run Goal", AH32="Chg Goal", AH32=""),AH32,IF(AN32&lt;&gt;"","Completed",IF(AM32&lt;&gt;"","Pending",IF(AND(AL32&lt;&gt;"",$A$17&gt;AL32),"Overdue",IF($A$17&gt;AK32,"Started","Open")))))</f>
        <v>0</v>
      </c>
      <c r="N32" s="50" t="n">
        <f aca="false">((LEN($BC32)-LEN(SUBSTITUTE($BC32,CHAR(10)&amp;". ","")))/3)+IF(LEFT(TRIM($BC32),2)=". ",1,0)</f>
        <v>0</v>
      </c>
      <c r="O32" s="50" t="n">
        <f aca="false">((LEN($BC32)-LEN(SUBSTITUTE($BC32,CHAR(10)&amp;"/ ","")))/3)+IF(LEFT(TRIM($BC32),2)="/ ",1,0)</f>
        <v>0</v>
      </c>
      <c r="P32" s="50" t="n">
        <f aca="false">((LEN($BC32)-LEN(SUBSTITUTE($BC32,CHAR(10)&amp;"~ ","")))/3)+IF(LEFT(TRIM($BC32),2)="~ ",1,0)</f>
        <v>0</v>
      </c>
      <c r="Q32" s="50" t="n">
        <f aca="false">((LEN($BC32)-LEN(SUBSTITUTE($BC32,CHAR(10)&amp;"! ","")))/3)+IF(LEFT(TRIM($BC32),2)="! ",1,0)</f>
        <v>0</v>
      </c>
      <c r="R32" s="50" t="n">
        <f aca="false">((LEN($BC32)-LEN(SUBSTITUTE($BC32,CHAR(10)&amp;"x ","")))/3)+IF(LEFT(TRIM($BC32),2)="x ",1,0)</f>
        <v>0</v>
      </c>
      <c r="S32" s="50" t="n">
        <f aca="false">SUM(N32:R32)</f>
        <v>0</v>
      </c>
      <c r="T32" s="51" t="n">
        <f aca="false">IF(OR($B32="Drill",$B32="Action"),$AO32,0)</f>
        <v>0</v>
      </c>
      <c r="U32" s="51" t="n">
        <f aca="false">IF(OR($B32="Sub",$B32="Stream"),$AO32+SUMIFS($AO$20:$AO$55,$G$20:$G$55,$E32),0)</f>
        <v>0</v>
      </c>
      <c r="V32" s="51" t="n">
        <f aca="false">IF(OR($B32="Routine",$B32="Project"),$AO32+SUMIFS($U$20:$U$55,$G$20:$G$55,$E32),0)</f>
        <v>0</v>
      </c>
      <c r="W32" s="51" t="n">
        <f aca="false">IF($B32="Venture",$AO32+SUMIFS($V$20:$V$55,$G$20:$G$55,$E32),0)</f>
        <v>0</v>
      </c>
      <c r="X32" s="51" t="n">
        <f aca="false">IF(OR($B32="Drill",$B32="Action"),$AP32,0)</f>
        <v>0</v>
      </c>
      <c r="Y32" s="51" t="n">
        <f aca="false">IF(OR($B32="Sub",$B32="Stream"),$AP32+SUMIFS($AP$20:$AP$55,$G$20:$G$55,$E32),0)</f>
        <v>0</v>
      </c>
      <c r="Z32" s="51" t="n">
        <f aca="false">IF(OR($B32="Routine",$B32="Project"),$AP32+SUMIFS($Y$20:$Y$55,$G$20:$G$55,$E32),0)</f>
        <v>0</v>
      </c>
      <c r="AA32" s="51" t="n">
        <f aca="false">IF($B32="Venture",$AP32+SUMIFS($Z$20:$Z$55,$G$20:$G$55,$E32),0)</f>
        <v>0</v>
      </c>
      <c r="AB32" s="51" t="str">
        <f aca="false">IF(OR(AH32="Venture", AH32="Run Goal", AH32="Chg Goal"),AI32,AH32&amp;AI32&amp;AR32)</f>
        <v/>
      </c>
      <c r="AC32" s="53" t="str">
        <f aca="false">"  -  "&amp;IF(C32=90000000,9&amp;"Z",D32&amp;AE32&amp;IF(OR(B32="Run Goal",B32="Chg Goal", B32="Venture"),"",IF(OR(B32="Routine",B32="Project"),F32&amp;E32,  IF(OR(B32="Sub",B32="Stream"),H32&amp;G32&amp;F32&amp;E32,IF(OR(B32="Drill",B32="Action"),J32&amp;I32&amp;H32&amp;G32&amp;F32&amp;E32,     "") )    )))</f>
        <v>  -  9Z</v>
      </c>
      <c r="AD32" s="51" t="str">
        <f aca="false">IF(AND(AM32="",AN32=""),"Y","N")</f>
        <v>Y</v>
      </c>
      <c r="AE32" s="103" t="str">
        <f aca="false">IF(OR(AF32="Y",AF32="Y"),AF32,IF(DM32="none","N",IF(DM32&gt;($A$17-WEEKDAY($A$17,2)-(7*$AE$18)),"Y","N")))</f>
        <v>N</v>
      </c>
      <c r="AF32" s="104"/>
      <c r="AG32" s="105"/>
      <c r="AH32" s="79"/>
      <c r="AI32" s="56"/>
      <c r="AJ32" s="56"/>
      <c r="AK32" s="106"/>
      <c r="AL32" s="106"/>
      <c r="AM32" s="106"/>
      <c r="AN32" s="106"/>
      <c r="AO32" s="107"/>
      <c r="AP32" s="107"/>
      <c r="AQ32" s="79"/>
      <c r="AR32" s="79"/>
      <c r="AS32" s="79"/>
      <c r="AT32" s="79"/>
      <c r="AU32" s="79"/>
      <c r="AV32" s="79"/>
      <c r="AW32" s="79"/>
      <c r="AX32" s="79"/>
      <c r="AY32" s="79"/>
      <c r="AZ32" s="79"/>
      <c r="BA32" s="63"/>
      <c r="BB32" s="108"/>
      <c r="BC32" s="63"/>
      <c r="BD32" s="51" t="n">
        <f aca="false">SUM(N32:Q32)</f>
        <v>0</v>
      </c>
      <c r="BE32" s="59" t="n">
        <f aca="false">IF(AI32="",1,IF(S32&lt;&gt;0,(O32*0.5+R32)/S32,1))</f>
        <v>1</v>
      </c>
      <c r="BF32" s="81" t="str">
        <f aca="false">IF(AH32="","",IF(AH32="Venture",W32,IF(OR(AH32="Chg Goal",AH32="RUn Goal"),V32,IF(OR(AH32="ROutine",AH32="Project"),V32,IF(OR(AH32="Sub",AH32="Stream"),U32,IF(OR(AH32="Drill",AH32="Action"),T32,0))))))</f>
        <v/>
      </c>
      <c r="BG32" s="81" t="str">
        <f aca="false">IF(AH32="","",IF(AH32="Venture",AA32,IF(OR(AH32="Chg Goal",AH32="RUn Goal"),Z32,IF(OR(AH32="ROutine",AH32="Project"),Z32,IF(OR(AH32="Sub",AH32="Stream"),Y32,IF(OR(AH32="Drill",AH32="Action"),X32,0))))))</f>
        <v/>
      </c>
      <c r="BH32" s="109" t="str">
        <f aca="false">IF(AI32="","",IF(OR(BF32=0, BF32=""),0,BG32/BF32))</f>
        <v/>
      </c>
      <c r="BI32" s="110" t="str">
        <f aca="false">IF(    OR(   AND($C32=10000000,    BI$19&gt;=$A$17,      BI$19 &lt;($A$17+$DH$17)   ),   AND($C32&lt;&gt;10000000,  BI$19&gt;=$DW32,    BI$19&lt;=($DX32+$DH$17)  ))   ,$DV32,  "")</f>
        <v/>
      </c>
      <c r="BJ32" s="111" t="str">
        <f aca="false">IF(    OR(   AND($C32=10000000,    $A$17&lt;=BJ$19,      ($A$17+$DH$17)&gt;BJ$19    ),   AND($C32&lt;&gt;10000000,  BJ$19&gt;=$DW32,    BJ$19&lt;=($DX32+$DH$17)  ))   ,$DV32,  "")</f>
        <v/>
      </c>
      <c r="BK32" s="111" t="str">
        <f aca="false">IF(    OR(   AND($C32=10000000,    $A$17&lt;=BK$19,      ($A$17+$DH$17)&gt;BK$19    ),   AND($C32&lt;&gt;10000000,  BK$19&gt;=$DW32,    BK$19&lt;=($DX32+$DH$17)  ))   ,$DV32,  "")</f>
        <v/>
      </c>
      <c r="BL32" s="111" t="str">
        <f aca="false">IF(    OR(   AND($C32=10000000,    $A$17&lt;=BL$19,      ($A$17+$DH$17)&gt;BL$19    ),   AND($C32&lt;&gt;10000000,  BL$19&gt;=$DW32,    BL$19&lt;=($DX32+$DH$17)  ))   ,$DV32,  "")</f>
        <v/>
      </c>
      <c r="BM32" s="111" t="str">
        <f aca="false">IF(    OR(   AND($C32=10000000,    $A$17&lt;=BM$19,      ($A$17+$DH$17)&gt;BM$19    ),   AND($C32&lt;&gt;10000000,  BM$19&gt;=$DW32,    BM$19&lt;=($DX32+$DH$17)  ))   ,$DV32,  "")</f>
        <v/>
      </c>
      <c r="BN32" s="111" t="str">
        <f aca="false">IF(    OR(   AND($C32=10000000,    $A$17&lt;=BN$19,      ($A$17+$DH$17)&gt;BN$19    ),   AND($C32&lt;&gt;10000000,  BN$19&gt;=$DW32,    BN$19&lt;=($DX32+$DH$17)  ))   ,$DV32,  "")</f>
        <v/>
      </c>
      <c r="BO32" s="111" t="str">
        <f aca="false">IF(    OR(   AND($C32=10000000,    $A$17&lt;=BO$19,      ($A$17+$DH$17)&gt;BO$19    ),   AND($C32&lt;&gt;10000000,  BO$19&gt;=$DW32,    BO$19&lt;=($DX32+$DH$17)  ))   ,$DV32,  "")</f>
        <v/>
      </c>
      <c r="BP32" s="111" t="str">
        <f aca="false">IF(    OR(   AND($C32=10000000,    $A$17&lt;=BP$19,      ($A$17+$DH$17)&gt;BP$19    ),   AND($C32&lt;&gt;10000000,  BP$19&gt;=$DW32,    BP$19&lt;=($DX32+$DH$17)  ))   ,$DV32,  "")</f>
        <v/>
      </c>
      <c r="BQ32" s="111" t="str">
        <f aca="false">IF(    OR(   AND($C32=10000000,    $A$17&lt;=BQ$19,      ($A$17+$DH$17)&gt;BQ$19    ),   AND($C32&lt;&gt;10000000,  BQ$19&gt;=$DW32,    BQ$19&lt;=($DX32+$DH$17)  ))   ,$DV32,  "")</f>
        <v/>
      </c>
      <c r="BR32" s="111" t="str">
        <f aca="false">IF(    OR(   AND($C32=10000000,    $A$17&lt;=BR$19,      ($A$17+$DH$17)&gt;BR$19    ),   AND($C32&lt;&gt;10000000,  BR$19&gt;=$DW32,    BR$19&lt;=($DX32+$DH$17)  ))   ,$DV32,  "")</f>
        <v/>
      </c>
      <c r="BS32" s="111" t="str">
        <f aca="false">IF(    OR(   AND($C32=10000000,    $A$17&lt;=BS$19,      ($A$17+$DH$17)&gt;BS$19    ),   AND($C32&lt;&gt;10000000,  BS$19&gt;=$DW32,    BS$19&lt;=($DX32+$DH$17)  ))   ,$DV32,  "")</f>
        <v/>
      </c>
      <c r="BT32" s="111" t="str">
        <f aca="false">IF(    OR(   AND($C32=10000000,    $A$17&lt;=BT$19,      ($A$17+$DH$17)&gt;BT$19    ),   AND($C32&lt;&gt;10000000,  BT$19&gt;=$DW32,    BT$19&lt;=($DX32+$DH$17)  ))   ,$DV32,  "")</f>
        <v/>
      </c>
      <c r="BU32" s="111" t="str">
        <f aca="false">IF(    OR(   AND($C32=10000000,    $A$17&lt;=BU$19,      ($A$17+$DH$17)&gt;BU$19    ),   AND($C32&lt;&gt;10000000,  BU$19&gt;=$DW32,    BU$19&lt;=($DX32+$DH$17)  ))   ,$DV32,  "")</f>
        <v/>
      </c>
      <c r="BV32" s="111" t="str">
        <f aca="false">IF(    OR(   AND($C32=10000000,    $A$17&lt;=BV$19,      ($A$17+$DH$17)&gt;BV$19    ),   AND($C32&lt;&gt;10000000,  BV$19&gt;=$DW32,    BV$19&lt;=($DX32+$DH$17)  ))   ,$DV32,  "")</f>
        <v/>
      </c>
      <c r="BW32" s="111" t="str">
        <f aca="false">IF(    OR(   AND($C32=10000000,    $A$17&lt;=BW$19,      ($A$17+$DH$17)&gt;BW$19    ),   AND($C32&lt;&gt;10000000,  BW$19&gt;=$DW32,    BW$19&lt;=($DX32+$DH$17)  ))   ,$DV32,  "")</f>
        <v/>
      </c>
      <c r="BX32" s="111" t="str">
        <f aca="false">IF(    OR(   AND($C32=10000000,    $A$17&lt;=BX$19,      ($A$17+$DH$17)&gt;BX$19    ),   AND($C32&lt;&gt;10000000,  BX$19&gt;=$DW32,    BX$19&lt;=($DX32+$DH$17)  ))   ,$DV32,  "")</f>
        <v/>
      </c>
      <c r="BY32" s="111" t="str">
        <f aca="false">IF(    OR(   AND($C32=10000000,    $A$17&lt;=BY$19,      ($A$17+$DH$17)&gt;BY$19    ),   AND($C32&lt;&gt;10000000,  BY$19&gt;=$DW32,    BY$19&lt;=($DX32+$DH$17)  ))   ,$DV32,  "")</f>
        <v/>
      </c>
      <c r="BZ32" s="111" t="str">
        <f aca="false">IF(    OR(   AND($C32=10000000,    $A$17&lt;=BZ$19,      ($A$17+$DH$17)&gt;BZ$19    ),   AND($C32&lt;&gt;10000000,  BZ$19&gt;=$DW32,    BZ$19&lt;=($DX32+$DH$17)  ))   ,$DV32,  "")</f>
        <v/>
      </c>
      <c r="CA32" s="111" t="str">
        <f aca="false">IF(    OR(   AND($C32=10000000,    $A$17&lt;=CA$19,      ($A$17+$DH$17)&gt;CA$19    ),   AND($C32&lt;&gt;10000000,  CA$19&gt;=$DW32,    CA$19&lt;=($DX32+$DH$17)  ))   ,$DV32,  "")</f>
        <v/>
      </c>
      <c r="CB32" s="111" t="str">
        <f aca="false">IF(    OR(   AND($C32=10000000,    $A$17&lt;=CB$19,      ($A$17+$DH$17)&gt;CB$19    ),   AND($C32&lt;&gt;10000000,  CB$19&gt;=$DW32,    CB$19&lt;=($DX32+$DH$17)  ))   ,$DV32,  "")</f>
        <v/>
      </c>
      <c r="CC32" s="111" t="str">
        <f aca="false">IF(    OR(   AND($C32=10000000,    $A$17&lt;=CC$19,      ($A$17+$DH$17)&gt;CC$19    ),   AND($C32&lt;&gt;10000000,  CC$19&gt;=$DW32,    CC$19&lt;=($DX32+$DH$17)  ))   ,$DV32,  "")</f>
        <v/>
      </c>
      <c r="CD32" s="111" t="str">
        <f aca="false">IF(    OR(   AND($C32=10000000,    $A$17&lt;=CD$19,      ($A$17+$DH$17)&gt;CD$19    ),   AND($C32&lt;&gt;10000000,  CD$19&gt;=$DW32,    CD$19&lt;=($DX32+$DH$17)  ))   ,$DV32,  "")</f>
        <v/>
      </c>
      <c r="CE32" s="111" t="str">
        <f aca="false">IF(    OR(   AND($C32=10000000,    $A$17&lt;=CE$19,      ($A$17+$DH$17)&gt;CE$19    ),   AND($C32&lt;&gt;10000000,  CE$19&gt;=$DW32,    CE$19&lt;=($DX32+$DH$17)  ))   ,$DV32,  "")</f>
        <v/>
      </c>
      <c r="CF32" s="111" t="str">
        <f aca="false">IF(    OR(   AND($C32=10000000,    $A$17&lt;=CF$19,      ($A$17+$DH$17)&gt;CF$19    ),   AND($C32&lt;&gt;10000000,  CF$19&gt;=$DW32,    CF$19&lt;=($DX32+$DH$17)  ))   ,$DV32,  "")</f>
        <v/>
      </c>
      <c r="CG32" s="111" t="str">
        <f aca="false">IF(    OR(   AND($C32=10000000,    $A$17&lt;=CG$19,      ($A$17+$DH$17)&gt;CG$19    ),   AND($C32&lt;&gt;10000000,  CG$19&gt;=$DW32,    CG$19&lt;=($DX32+$DH$17)  ))   ,$DV32,  "")</f>
        <v/>
      </c>
      <c r="CH32" s="111" t="str">
        <f aca="false">IF(    OR(   AND($C32=10000000,    $A$17&lt;=CH$19,      ($A$17+$DH$17)&gt;CH$19    ),   AND($C32&lt;&gt;10000000,  CH$19&gt;=$DW32,    CH$19&lt;=($DX32+$DH$17)  ))   ,$DV32,  "")</f>
        <v/>
      </c>
      <c r="CI32" s="111" t="str">
        <f aca="false">IF(    OR(   AND($C32=10000000,    $A$17&lt;=CI$19,      ($A$17+$DH$17)&gt;CI$19    ),   AND($C32&lt;&gt;10000000,  CI$19&gt;=$DW32,    CI$19&lt;=($DX32+$DH$17)  ))   ,$DV32,  "")</f>
        <v/>
      </c>
      <c r="CJ32" s="111" t="str">
        <f aca="false">IF(    OR(   AND($C32=10000000,    $A$17&lt;=CJ$19,      ($A$17+$DH$17)&gt;CJ$19    ),   AND($C32&lt;&gt;10000000,  CJ$19&gt;=$DW32,    CJ$19&lt;=($DX32+$DH$17)  ))   ,$DV32,  "")</f>
        <v/>
      </c>
      <c r="CK32" s="111" t="str">
        <f aca="false">IF(    OR(   AND($C32=10000000,    $A$17&lt;=CK$19,      ($A$17+$DH$17)&gt;CK$19    ),   AND($C32&lt;&gt;10000000,  CK$19&gt;=$DW32,    CK$19&lt;=($DX32+$DH$17)  ))   ,$DV32,  "")</f>
        <v/>
      </c>
      <c r="CL32" s="111" t="str">
        <f aca="false">IF(    OR(   AND($C32=10000000,    $A$17&lt;=CL$19,      ($A$17+$DH$17)&gt;CL$19    ),   AND($C32&lt;&gt;10000000,  CL$19&gt;=$DW32,    CL$19&lt;=($DX32+$DH$17)  ))   ,$DV32,  "")</f>
        <v/>
      </c>
      <c r="CM32" s="111" t="str">
        <f aca="false">IF(    OR(   AND($C32=10000000,    $A$17&lt;=CM$19,      ($A$17+$DH$17)&gt;CM$19    ),   AND($C32&lt;&gt;10000000,  CM$19&gt;=$DW32,    CM$19&lt;=($DX32+$DH$17)  ))   ,$DV32,  "")</f>
        <v/>
      </c>
      <c r="CN32" s="111" t="str">
        <f aca="false">IF(    OR(   AND($C32=10000000,    $A$17&lt;=CN$19,      ($A$17+$DH$17)&gt;CN$19    ),   AND($C32&lt;&gt;10000000,  CN$19&gt;=$DW32,    CN$19&lt;=($DX32+$DH$17)  ))   ,$DV32,  "")</f>
        <v/>
      </c>
      <c r="CO32" s="111" t="str">
        <f aca="false">IF(    OR(   AND($C32=10000000,    $A$17&lt;=CO$19,      ($A$17+$DH$17)&gt;CO$19    ),   AND($C32&lt;&gt;10000000,  CO$19&gt;=$DW32,    CO$19&lt;=($DX32+$DH$17)  ))   ,$DV32,  "")</f>
        <v/>
      </c>
      <c r="CP32" s="111" t="str">
        <f aca="false">IF(    OR(   AND($C32=10000000,    $A$17&lt;=CP$19,      ($A$17+$DH$17)&gt;CP$19    ),   AND($C32&lt;&gt;10000000,  CP$19&gt;=$DW32,    CP$19&lt;=($DX32+$DH$17)  ))   ,$DV32,  "")</f>
        <v/>
      </c>
      <c r="CQ32" s="111" t="str">
        <f aca="false">IF(    OR(   AND($C32=10000000,    $A$17&lt;=CQ$19,      ($A$17+$DH$17)&gt;CQ$19    ),   AND($C32&lt;&gt;10000000,  CQ$19&gt;=$DW32,    CQ$19&lt;=($DX32+$DH$17)  ))   ,$DV32,  "")</f>
        <v/>
      </c>
      <c r="CR32" s="111" t="str">
        <f aca="false">IF(    OR(   AND($C32=10000000,    $A$17&lt;=CR$19,      ($A$17+$DH$17)&gt;CR$19    ),   AND($C32&lt;&gt;10000000,  CR$19&gt;=$DW32,    CR$19&lt;=($DX32+$DH$17)  ))   ,$DV32,  "")</f>
        <v/>
      </c>
      <c r="CS32" s="111" t="str">
        <f aca="false">IF(    OR(   AND($C32=10000000,    $A$17&lt;=CS$19,      ($A$17+$DH$17)&gt;CS$19    ),   AND($C32&lt;&gt;10000000,  CS$19&gt;=$DW32,    CS$19&lt;=($DX32+$DH$17)  ))   ,$DV32,  "")</f>
        <v/>
      </c>
      <c r="CT32" s="111" t="str">
        <f aca="false">IF(    OR(   AND($C32=10000000,    $A$17&lt;=CT$19,      ($A$17+$DH$17)&gt;CT$19    ),   AND($C32&lt;&gt;10000000,  CT$19&gt;=$DW32,    CT$19&lt;=($DX32+$DH$17)  ))   ,$DV32,  "")</f>
        <v/>
      </c>
      <c r="CU32" s="111" t="str">
        <f aca="false">IF(    OR(   AND($C32=10000000,    $A$17&lt;=CU$19,      ($A$17+$DH$17)&gt;CU$19    ),   AND($C32&lt;&gt;10000000,  CU$19&gt;=$DW32,    CU$19&lt;=($DX32+$DH$17)  ))   ,$DV32,  "")</f>
        <v/>
      </c>
      <c r="CV32" s="111" t="str">
        <f aca="false">IF(    OR(   AND($C32=10000000,    $A$17&lt;=CV$19,      ($A$17+$DH$17)&gt;CV$19    ),   AND($C32&lt;&gt;10000000,  CV$19&gt;=$DW32,    CV$19&lt;=($DX32+$DH$17)  ))   ,$DV32,  "")</f>
        <v/>
      </c>
      <c r="CW32" s="111" t="str">
        <f aca="false">IF(    OR(   AND($C32=10000000,    $A$17&lt;=CW$19,      ($A$17+$DH$17)&gt;CW$19    ),   AND($C32&lt;&gt;10000000,  CW$19&gt;=$DW32,    CW$19&lt;=($DX32+$DH$17)  ))   ,$DV32,  "")</f>
        <v/>
      </c>
      <c r="CX32" s="111" t="str">
        <f aca="false">IF(    OR(   AND($C32=10000000,    $A$17&lt;=CX$19,      ($A$17+$DH$17)&gt;CX$19    ),   AND($C32&lt;&gt;10000000,  CX$19&gt;=$DW32,    CX$19&lt;=($DX32+$DH$17)  ))   ,$DV32,  "")</f>
        <v/>
      </c>
      <c r="CY32" s="111" t="str">
        <f aca="false">IF(    OR(   AND($C32=10000000,    $A$17&lt;=CY$19,      ($A$17+$DH$17)&gt;CY$19    ),   AND($C32&lt;&gt;10000000,  CY$19&gt;=$DW32,    CY$19&lt;=($DX32+$DH$17)  ))   ,$DV32,  "")</f>
        <v/>
      </c>
      <c r="CZ32" s="111" t="str">
        <f aca="false">IF(    OR(   AND($C32=10000000,    $A$17&lt;=CZ$19,      ($A$17+$DH$17)&gt;CZ$19    ),   AND($C32&lt;&gt;10000000,  CZ$19&gt;=$DW32,    CZ$19&lt;=($DX32+$DH$17)  ))   ,$DV32,  "")</f>
        <v/>
      </c>
      <c r="DA32" s="111" t="str">
        <f aca="false">IF(    OR(   AND($C32=10000000,    $A$17&lt;=DA$19,      ($A$17+$DH$17)&gt;DA$19    ),   AND($C32&lt;&gt;10000000,  DA$19&gt;=$DW32,    DA$19&lt;=($DX32+$DH$17)  ))   ,$DV32,  "")</f>
        <v/>
      </c>
      <c r="DB32" s="111" t="str">
        <f aca="false">IF(    OR(   AND($C32=10000000,    $A$17&lt;=DB$19,      ($A$17+$DH$17)&gt;DB$19    ),   AND($C32&lt;&gt;10000000,  DB$19&gt;=$DW32,    DB$19&lt;=($DX32+$DH$17)  ))   ,$DV32,  "")</f>
        <v/>
      </c>
      <c r="DC32" s="111" t="str">
        <f aca="false">IF(    OR(   AND($C32=10000000,    $A$17&lt;=DC$19,      ($A$17+$DH$17)&gt;DC$19    ),   AND($C32&lt;&gt;10000000,  DC$19&gt;=$DW32,    DC$19&lt;=($DX32+$DH$17)  ))   ,$DV32,  "")</f>
        <v/>
      </c>
      <c r="DD32" s="111" t="str">
        <f aca="false">IF(    OR(   AND($C32=10000000,    $A$17&lt;=DD$19,      ($A$17+$DH$17)&gt;DD$19    ),   AND($C32&lt;&gt;10000000,  DD$19&gt;=$DW32,    DD$19&lt;=($DX32+$DH$17)  ))   ,$DV32,  "")</f>
        <v/>
      </c>
      <c r="DE32" s="111" t="str">
        <f aca="false">IF(    OR(   AND($C32=10000000,    $A$17&lt;=DE$19,      ($A$17+$DH$17)&gt;DE$19    ),   AND($C32&lt;&gt;10000000,  DE$19&gt;=$DW32,    DE$19&lt;=($DX32+$DH$17)  ))   ,$DV32,  "")</f>
        <v/>
      </c>
      <c r="DF32" s="111" t="str">
        <f aca="false">IF(    OR(   AND($C32=10000000,    $A$17&lt;=DF$19,      ($A$17+$DH$17)&gt;DF$19    ),   AND($C32&lt;&gt;10000000,  DF$19&gt;=$DW32,    DF$19&lt;=($DX32+$DH$17)  ))   ,$DV32,  "")</f>
        <v/>
      </c>
      <c r="DG32" s="111" t="str">
        <f aca="false">IF(    OR(   AND($C32=10000000,    $A$17&lt;=DG$19,      ($A$17+$DH$17)&gt;DG$19    ),   AND($C32&lt;&gt;10000000,  DG$19&gt;=$DW32,    DG$19&lt;=($DX32+$DH$17)  ))   ,$DV32,  "")</f>
        <v/>
      </c>
      <c r="DH32" s="111" t="str">
        <f aca="false">IF(    OR(   AND($C32=10000000,    $A$17&lt;=DH$19,      ($A$17+$DH$17)&gt;DH$19    ),   AND($C32&lt;&gt;10000000,  DH$19&gt;=$DW32,    DH$19&lt;=($DX32+$DH$17)  ))   ,$DV32,  "")</f>
        <v/>
      </c>
      <c r="DI32" s="112" t="str">
        <f aca="false">IF(BB32="","",IF(ISERROR(FIND(CHAR(10),BB32,1)),BB32,LEFT(BB32,FIND(CHAR(10),BB32,1))))</f>
        <v/>
      </c>
      <c r="DJ32" s="53" t="str">
        <f aca="false">IF(BB32="","",IFERROR(RIGHT(BB32,LEN(BB32)-FIND("@@@",SUBSTITUTE(BB32,CHAR(10),"@@@",LEN(BB32)-LEN(SUBSTITUTE(BB32,CHAR(10),""))),1)),BB32))</f>
        <v/>
      </c>
      <c r="DK32" s="53" t="str">
        <f aca="false">IF(BC32="","",IFERROR(RIGHT(BC32,LEN(BC32)-FIND("@@@",SUBSTITUTE(BC32,CHAR(10),"@@@",LEN(BC32)-LEN(SUBSTITUTE(BC32,CHAR(10),""))),1)),BC32))</f>
        <v/>
      </c>
      <c r="DL32" s="113" t="str">
        <f aca="false">IFERROR(DATE(("20"&amp;MID(DI32,7,2))*1,MID(DI32,4,2)*1,MID(DI32,1,2)*1),"none")</f>
        <v>none</v>
      </c>
      <c r="DM32" s="113" t="str">
        <f aca="false">IFERROR(DATE(("20"&amp;MID(DJ32,7,2))*1,MID(DJ32,4,2)*1,MID(DJ32,1,2)*1),"none")</f>
        <v>none</v>
      </c>
      <c r="DN32" s="113" t="n">
        <f aca="false">IF(DL32&lt;&gt;"none",DL32,DATE(1900,1,1))</f>
        <v>2</v>
      </c>
      <c r="DO32" s="113" t="n">
        <f aca="false">IF(DM32&lt;&gt;"none",DM32,DN32)</f>
        <v>2</v>
      </c>
      <c r="DP32" s="114" t="n">
        <f aca="false">_xlfn.DAYS($A$17,DN32)</f>
        <v>45332</v>
      </c>
      <c r="DQ32" s="114" t="n">
        <f aca="false">_xlfn.DAYS($A$17, DO32)</f>
        <v>45332</v>
      </c>
      <c r="DR32" s="51" t="n">
        <f aca="false">IF(DO32&lt;&gt;"",INT(DQ32/7),0)</f>
        <v>6476</v>
      </c>
      <c r="DS32" s="114" t="n">
        <f aca="false">IF(M32="Overdue",_xlfn.DAYS($A$17,AL32),0)</f>
        <v>0</v>
      </c>
      <c r="DT32" s="114" t="n">
        <f aca="false">IF(AH32="Project",_xlfn.DAYS(AL32,$A$17),0)</f>
        <v>0</v>
      </c>
      <c r="DU32" s="51" t="str">
        <f aca="false">IFERROR(INDEX(Static!$D$5:$E$11,MATCH(AH32,Static!$D$5:$D$11,0),2),"")</f>
        <v/>
      </c>
      <c r="DV32" s="51" t="str">
        <f aca="false">IF(C32=10000000,"Red",IF(OR(C32=11000000,C32=12000000),"Black",IF(C32=11100000,"Dark",IF(AND(C32=12100000,M32="Completed"),"Green",IF(AND(C32=12100000,M32="Overdue"),"Red",IF(C32=12100000,"Dark",IF(AND(C32=12110000,M32="Overdue"),"LightRed",IF(AND(C32=12110000,M32="Completed"),"LightGreen",IF(OR(C32=11110000,C32=12110000),"Light",IF(AND(C32=12111000,M32="Overdue"),"SoftRed",IF(AND(C32=12111000,M32="Completed"),"SoftGreen",IF(OR(C32=11111000,C32=12111000),"Grey",""))))))))))))</f>
        <v/>
      </c>
      <c r="DW32" s="49" t="n">
        <f aca="false">IF(AK32&lt;&gt;"",AK32,$BI$19)</f>
        <v>44927</v>
      </c>
      <c r="DX32" s="49" t="n">
        <f aca="false">IF(AL32&lt;&gt;"",AL32,$DH$19)</f>
        <v>45657</v>
      </c>
      <c r="DY32" s="79" t="s">
        <v>450</v>
      </c>
    </row>
    <row r="33" customFormat="false" ht="14.15" hidden="false" customHeight="true" outlineLevel="0" collapsed="false">
      <c r="A33" s="63"/>
      <c r="B33" s="53" t="n">
        <f aca="false">AH33</f>
        <v>0</v>
      </c>
      <c r="C33" s="51" t="n">
        <f aca="false">IFERROR(INDEX(Static!$D$5:$F$11,MATCH(AH33,Static!$D$5:$D$11,0),3),90000000)</f>
        <v>90000000</v>
      </c>
      <c r="D33" s="51" t="str">
        <f aca="false">MID(C33,2,1)</f>
        <v>0</v>
      </c>
      <c r="E33" s="53" t="str">
        <f aca="false">AB33</f>
        <v/>
      </c>
      <c r="F33" s="51" t="str">
        <f aca="false">IF(B33="Venture",0,IF(OR(B33="Project",B33="Stream",B33="Action"),AK33,""))</f>
        <v/>
      </c>
      <c r="G33" s="51" t="n">
        <f aca="false">AS33</f>
        <v>0</v>
      </c>
      <c r="H33" s="51" t="str">
        <f aca="false">IF(B33="Venture",0,IFERROR(INDEX($E$20:$F$55,MATCH(G33,$E$20:$E$55,0),2),""))</f>
        <v/>
      </c>
      <c r="I33" s="51" t="str">
        <f aca="false">IF(B33="Venture",0,IFERROR(INDEX($E$20:$G$55,MATCH(G33,$E$20:$E$55,0),3),""))</f>
        <v/>
      </c>
      <c r="J33" s="51" t="str">
        <f aca="false">IF(B33="Venture",0,IFERROR(INDEX($E$20:$H$55,MATCH(G33,$E$20:$E$55,0),4),""))</f>
        <v/>
      </c>
      <c r="K33" s="51" t="n">
        <f aca="false">IF(B33="Venture",0,IFERROR(INDEX($E$20:$G$55,MATCH(I33,$E$20:$E$55,0),3),""))</f>
        <v>0</v>
      </c>
      <c r="L33" s="51" t="str">
        <f aca="false">IF(M33="Completed","Completed","Ongoing")</f>
        <v>Ongoing</v>
      </c>
      <c r="M33" s="51" t="n">
        <f aca="false">IF(OR(AH33="Venture",AH33="Routine",AH33="Run Goal", AH33="Chg Goal", AH33=""),AH33,IF(AN33&lt;&gt;"","Completed",IF(AM33&lt;&gt;"","Pending",IF(AND(AL33&lt;&gt;"",$A$17&gt;AL33),"Overdue",IF($A$17&gt;AK33,"Started","Open")))))</f>
        <v>0</v>
      </c>
      <c r="N33" s="50" t="n">
        <f aca="false">((LEN($BC33)-LEN(SUBSTITUTE($BC33,CHAR(10)&amp;". ","")))/3)+IF(LEFT(TRIM($BC33),2)=". ",1,0)</f>
        <v>0</v>
      </c>
      <c r="O33" s="50" t="n">
        <f aca="false">((LEN($BC33)-LEN(SUBSTITUTE($BC33,CHAR(10)&amp;"/ ","")))/3)+IF(LEFT(TRIM($BC33),2)="/ ",1,0)</f>
        <v>0</v>
      </c>
      <c r="P33" s="50" t="n">
        <f aca="false">((LEN($BC33)-LEN(SUBSTITUTE($BC33,CHAR(10)&amp;"~ ","")))/3)+IF(LEFT(TRIM($BC33),2)="~ ",1,0)</f>
        <v>0</v>
      </c>
      <c r="Q33" s="50" t="n">
        <f aca="false">((LEN($BC33)-LEN(SUBSTITUTE($BC33,CHAR(10)&amp;"! ","")))/3)+IF(LEFT(TRIM($BC33),2)="! ",1,0)</f>
        <v>0</v>
      </c>
      <c r="R33" s="50" t="n">
        <f aca="false">((LEN($BC33)-LEN(SUBSTITUTE($BC33,CHAR(10)&amp;"x ","")))/3)+IF(LEFT(TRIM($BC33),2)="x ",1,0)</f>
        <v>0</v>
      </c>
      <c r="S33" s="50" t="n">
        <f aca="false">SUM(N33:R33)</f>
        <v>0</v>
      </c>
      <c r="T33" s="51" t="n">
        <f aca="false">IF(OR($B33="Drill",$B33="Action"),$AO33,0)</f>
        <v>0</v>
      </c>
      <c r="U33" s="51" t="n">
        <f aca="false">IF(OR($B33="Sub",$B33="Stream"),$AO33+SUMIFS($AO$20:$AO$55,$G$20:$G$55,$E33),0)</f>
        <v>0</v>
      </c>
      <c r="V33" s="51" t="n">
        <f aca="false">IF(OR($B33="Routine",$B33="Project"),$AO33+SUMIFS($U$20:$U$55,$G$20:$G$55,$E33),0)</f>
        <v>0</v>
      </c>
      <c r="W33" s="51" t="n">
        <f aca="false">IF($B33="Venture",$AO33+SUMIFS($V$20:$V$55,$G$20:$G$55,$E33),0)</f>
        <v>0</v>
      </c>
      <c r="X33" s="51" t="n">
        <f aca="false">IF(OR($B33="Drill",$B33="Action"),$AP33,0)</f>
        <v>0</v>
      </c>
      <c r="Y33" s="51" t="n">
        <f aca="false">IF(OR($B33="Sub",$B33="Stream"),$AP33+SUMIFS($AP$20:$AP$55,$G$20:$G$55,$E33),0)</f>
        <v>0</v>
      </c>
      <c r="Z33" s="51" t="n">
        <f aca="false">IF(OR($B33="Routine",$B33="Project"),$AP33+SUMIFS($Y$20:$Y$55,$G$20:$G$55,$E33),0)</f>
        <v>0</v>
      </c>
      <c r="AA33" s="51" t="n">
        <f aca="false">IF($B33="Venture",$AP33+SUMIFS($Z$20:$Z$55,$G$20:$G$55,$E33),0)</f>
        <v>0</v>
      </c>
      <c r="AB33" s="51" t="str">
        <f aca="false">IF(OR(AH33="Venture", AH33="Run Goal", AH33="Chg Goal"),AI33,AH33&amp;AI33&amp;AR33)</f>
        <v/>
      </c>
      <c r="AC33" s="53" t="str">
        <f aca="false">"  -  "&amp;IF(C33=90000000,9&amp;"Z",D33&amp;AE33&amp;IF(OR(B33="Run Goal",B33="Chg Goal", B33="Venture"),"",IF(OR(B33="Routine",B33="Project"),F33&amp;E33,  IF(OR(B33="Sub",B33="Stream"),H33&amp;G33&amp;F33&amp;E33,IF(OR(B33="Drill",B33="Action"),J33&amp;I33&amp;H33&amp;G33&amp;F33&amp;E33,     "") )    )))</f>
        <v>  -  9Z</v>
      </c>
      <c r="AD33" s="51" t="str">
        <f aca="false">IF(AND(AM33="",AN33=""),"Y","N")</f>
        <v>Y</v>
      </c>
      <c r="AE33" s="103" t="str">
        <f aca="false">IF(OR(AF33="Y",AF33="Y"),AF33,IF(DM33="none","N",IF(DM33&gt;($A$17-WEEKDAY($A$17,2)-(7*$AE$18)),"Y","N")))</f>
        <v>N</v>
      </c>
      <c r="AF33" s="104"/>
      <c r="AG33" s="105"/>
      <c r="AH33" s="79"/>
      <c r="AI33" s="56"/>
      <c r="AJ33" s="56"/>
      <c r="AK33" s="106"/>
      <c r="AL33" s="106"/>
      <c r="AM33" s="106"/>
      <c r="AN33" s="106"/>
      <c r="AO33" s="107"/>
      <c r="AP33" s="107"/>
      <c r="AQ33" s="79"/>
      <c r="AR33" s="79"/>
      <c r="AS33" s="79"/>
      <c r="AT33" s="79"/>
      <c r="AU33" s="79"/>
      <c r="AV33" s="79"/>
      <c r="AW33" s="79"/>
      <c r="AX33" s="79"/>
      <c r="AY33" s="79"/>
      <c r="AZ33" s="79"/>
      <c r="BA33" s="63"/>
      <c r="BB33" s="108"/>
      <c r="BC33" s="63"/>
      <c r="BD33" s="51" t="n">
        <f aca="false">SUM(N33:Q33)</f>
        <v>0</v>
      </c>
      <c r="BE33" s="59" t="n">
        <f aca="false">IF(AI33="",1,IF(S33&lt;&gt;0,(O33*0.5+R33)/S33,1))</f>
        <v>1</v>
      </c>
      <c r="BF33" s="81" t="str">
        <f aca="false">IF(AH33="","",IF(AH33="Venture",W33,IF(OR(AH33="Chg Goal",AH33="RUn Goal"),V33,IF(OR(AH33="ROutine",AH33="Project"),V33,IF(OR(AH33="Sub",AH33="Stream"),U33,IF(OR(AH33="Drill",AH33="Action"),T33,0))))))</f>
        <v/>
      </c>
      <c r="BG33" s="81" t="str">
        <f aca="false">IF(AH33="","",IF(AH33="Venture",AA33,IF(OR(AH33="Chg Goal",AH33="RUn Goal"),Z33,IF(OR(AH33="ROutine",AH33="Project"),Z33,IF(OR(AH33="Sub",AH33="Stream"),Y33,IF(OR(AH33="Drill",AH33="Action"),X33,0))))))</f>
        <v/>
      </c>
      <c r="BH33" s="109" t="str">
        <f aca="false">IF(AI33="","",IF(OR(BF33=0, BF33=""),0,BG33/BF33))</f>
        <v/>
      </c>
      <c r="BI33" s="110" t="str">
        <f aca="false">IF(    OR(   AND($C33=10000000,    BI$19&gt;=$A$17,      BI$19 &lt;($A$17+$DH$17)   ),   AND($C33&lt;&gt;10000000,  BI$19&gt;=$DW33,    BI$19&lt;=($DX33+$DH$17)  ))   ,$DV33,  "")</f>
        <v/>
      </c>
      <c r="BJ33" s="111" t="str">
        <f aca="false">IF(    OR(   AND($C33=10000000,    $A$17&lt;=BJ$19,      ($A$17+$DH$17)&gt;BJ$19    ),   AND($C33&lt;&gt;10000000,  BJ$19&gt;=$DW33,    BJ$19&lt;=($DX33+$DH$17)  ))   ,$DV33,  "")</f>
        <v/>
      </c>
      <c r="BK33" s="111" t="str">
        <f aca="false">IF(    OR(   AND($C33=10000000,    $A$17&lt;=BK$19,      ($A$17+$DH$17)&gt;BK$19    ),   AND($C33&lt;&gt;10000000,  BK$19&gt;=$DW33,    BK$19&lt;=($DX33+$DH$17)  ))   ,$DV33,  "")</f>
        <v/>
      </c>
      <c r="BL33" s="111" t="str">
        <f aca="false">IF(    OR(   AND($C33=10000000,    $A$17&lt;=BL$19,      ($A$17+$DH$17)&gt;BL$19    ),   AND($C33&lt;&gt;10000000,  BL$19&gt;=$DW33,    BL$19&lt;=($DX33+$DH$17)  ))   ,$DV33,  "")</f>
        <v/>
      </c>
      <c r="BM33" s="111" t="str">
        <f aca="false">IF(    OR(   AND($C33=10000000,    $A$17&lt;=BM$19,      ($A$17+$DH$17)&gt;BM$19    ),   AND($C33&lt;&gt;10000000,  BM$19&gt;=$DW33,    BM$19&lt;=($DX33+$DH$17)  ))   ,$DV33,  "")</f>
        <v/>
      </c>
      <c r="BN33" s="111" t="str">
        <f aca="false">IF(    OR(   AND($C33=10000000,    $A$17&lt;=BN$19,      ($A$17+$DH$17)&gt;BN$19    ),   AND($C33&lt;&gt;10000000,  BN$19&gt;=$DW33,    BN$19&lt;=($DX33+$DH$17)  ))   ,$DV33,  "")</f>
        <v/>
      </c>
      <c r="BO33" s="111" t="str">
        <f aca="false">IF(    OR(   AND($C33=10000000,    $A$17&lt;=BO$19,      ($A$17+$DH$17)&gt;BO$19    ),   AND($C33&lt;&gt;10000000,  BO$19&gt;=$DW33,    BO$19&lt;=($DX33+$DH$17)  ))   ,$DV33,  "")</f>
        <v/>
      </c>
      <c r="BP33" s="111" t="str">
        <f aca="false">IF(    OR(   AND($C33=10000000,    $A$17&lt;=BP$19,      ($A$17+$DH$17)&gt;BP$19    ),   AND($C33&lt;&gt;10000000,  BP$19&gt;=$DW33,    BP$19&lt;=($DX33+$DH$17)  ))   ,$DV33,  "")</f>
        <v/>
      </c>
      <c r="BQ33" s="111" t="str">
        <f aca="false">IF(    OR(   AND($C33=10000000,    $A$17&lt;=BQ$19,      ($A$17+$DH$17)&gt;BQ$19    ),   AND($C33&lt;&gt;10000000,  BQ$19&gt;=$DW33,    BQ$19&lt;=($DX33+$DH$17)  ))   ,$DV33,  "")</f>
        <v/>
      </c>
      <c r="BR33" s="111" t="str">
        <f aca="false">IF(    OR(   AND($C33=10000000,    $A$17&lt;=BR$19,      ($A$17+$DH$17)&gt;BR$19    ),   AND($C33&lt;&gt;10000000,  BR$19&gt;=$DW33,    BR$19&lt;=($DX33+$DH$17)  ))   ,$DV33,  "")</f>
        <v/>
      </c>
      <c r="BS33" s="111" t="str">
        <f aca="false">IF(    OR(   AND($C33=10000000,    $A$17&lt;=BS$19,      ($A$17+$DH$17)&gt;BS$19    ),   AND($C33&lt;&gt;10000000,  BS$19&gt;=$DW33,    BS$19&lt;=($DX33+$DH$17)  ))   ,$DV33,  "")</f>
        <v/>
      </c>
      <c r="BT33" s="111" t="str">
        <f aca="false">IF(    OR(   AND($C33=10000000,    $A$17&lt;=BT$19,      ($A$17+$DH$17)&gt;BT$19    ),   AND($C33&lt;&gt;10000000,  BT$19&gt;=$DW33,    BT$19&lt;=($DX33+$DH$17)  ))   ,$DV33,  "")</f>
        <v/>
      </c>
      <c r="BU33" s="111" t="str">
        <f aca="false">IF(    OR(   AND($C33=10000000,    $A$17&lt;=BU$19,      ($A$17+$DH$17)&gt;BU$19    ),   AND($C33&lt;&gt;10000000,  BU$19&gt;=$DW33,    BU$19&lt;=($DX33+$DH$17)  ))   ,$DV33,  "")</f>
        <v/>
      </c>
      <c r="BV33" s="111" t="str">
        <f aca="false">IF(    OR(   AND($C33=10000000,    $A$17&lt;=BV$19,      ($A$17+$DH$17)&gt;BV$19    ),   AND($C33&lt;&gt;10000000,  BV$19&gt;=$DW33,    BV$19&lt;=($DX33+$DH$17)  ))   ,$DV33,  "")</f>
        <v/>
      </c>
      <c r="BW33" s="111" t="str">
        <f aca="false">IF(    OR(   AND($C33=10000000,    $A$17&lt;=BW$19,      ($A$17+$DH$17)&gt;BW$19    ),   AND($C33&lt;&gt;10000000,  BW$19&gt;=$DW33,    BW$19&lt;=($DX33+$DH$17)  ))   ,$DV33,  "")</f>
        <v/>
      </c>
      <c r="BX33" s="111" t="str">
        <f aca="false">IF(    OR(   AND($C33=10000000,    $A$17&lt;=BX$19,      ($A$17+$DH$17)&gt;BX$19    ),   AND($C33&lt;&gt;10000000,  BX$19&gt;=$DW33,    BX$19&lt;=($DX33+$DH$17)  ))   ,$DV33,  "")</f>
        <v/>
      </c>
      <c r="BY33" s="111" t="str">
        <f aca="false">IF(    OR(   AND($C33=10000000,    $A$17&lt;=BY$19,      ($A$17+$DH$17)&gt;BY$19    ),   AND($C33&lt;&gt;10000000,  BY$19&gt;=$DW33,    BY$19&lt;=($DX33+$DH$17)  ))   ,$DV33,  "")</f>
        <v/>
      </c>
      <c r="BZ33" s="111" t="str">
        <f aca="false">IF(    OR(   AND($C33=10000000,    $A$17&lt;=BZ$19,      ($A$17+$DH$17)&gt;BZ$19    ),   AND($C33&lt;&gt;10000000,  BZ$19&gt;=$DW33,    BZ$19&lt;=($DX33+$DH$17)  ))   ,$DV33,  "")</f>
        <v/>
      </c>
      <c r="CA33" s="111" t="str">
        <f aca="false">IF(    OR(   AND($C33=10000000,    $A$17&lt;=CA$19,      ($A$17+$DH$17)&gt;CA$19    ),   AND($C33&lt;&gt;10000000,  CA$19&gt;=$DW33,    CA$19&lt;=($DX33+$DH$17)  ))   ,$DV33,  "")</f>
        <v/>
      </c>
      <c r="CB33" s="111" t="str">
        <f aca="false">IF(    OR(   AND($C33=10000000,    $A$17&lt;=CB$19,      ($A$17+$DH$17)&gt;CB$19    ),   AND($C33&lt;&gt;10000000,  CB$19&gt;=$DW33,    CB$19&lt;=($DX33+$DH$17)  ))   ,$DV33,  "")</f>
        <v/>
      </c>
      <c r="CC33" s="111" t="str">
        <f aca="false">IF(    OR(   AND($C33=10000000,    $A$17&lt;=CC$19,      ($A$17+$DH$17)&gt;CC$19    ),   AND($C33&lt;&gt;10000000,  CC$19&gt;=$DW33,    CC$19&lt;=($DX33+$DH$17)  ))   ,$DV33,  "")</f>
        <v/>
      </c>
      <c r="CD33" s="111" t="str">
        <f aca="false">IF(    OR(   AND($C33=10000000,    $A$17&lt;=CD$19,      ($A$17+$DH$17)&gt;CD$19    ),   AND($C33&lt;&gt;10000000,  CD$19&gt;=$DW33,    CD$19&lt;=($DX33+$DH$17)  ))   ,$DV33,  "")</f>
        <v/>
      </c>
      <c r="CE33" s="111" t="str">
        <f aca="false">IF(    OR(   AND($C33=10000000,    $A$17&lt;=CE$19,      ($A$17+$DH$17)&gt;CE$19    ),   AND($C33&lt;&gt;10000000,  CE$19&gt;=$DW33,    CE$19&lt;=($DX33+$DH$17)  ))   ,$DV33,  "")</f>
        <v/>
      </c>
      <c r="CF33" s="111" t="str">
        <f aca="false">IF(    OR(   AND($C33=10000000,    $A$17&lt;=CF$19,      ($A$17+$DH$17)&gt;CF$19    ),   AND($C33&lt;&gt;10000000,  CF$19&gt;=$DW33,    CF$19&lt;=($DX33+$DH$17)  ))   ,$DV33,  "")</f>
        <v/>
      </c>
      <c r="CG33" s="111" t="str">
        <f aca="false">IF(    OR(   AND($C33=10000000,    $A$17&lt;=CG$19,      ($A$17+$DH$17)&gt;CG$19    ),   AND($C33&lt;&gt;10000000,  CG$19&gt;=$DW33,    CG$19&lt;=($DX33+$DH$17)  ))   ,$DV33,  "")</f>
        <v/>
      </c>
      <c r="CH33" s="111" t="str">
        <f aca="false">IF(    OR(   AND($C33=10000000,    $A$17&lt;=CH$19,      ($A$17+$DH$17)&gt;CH$19    ),   AND($C33&lt;&gt;10000000,  CH$19&gt;=$DW33,    CH$19&lt;=($DX33+$DH$17)  ))   ,$DV33,  "")</f>
        <v/>
      </c>
      <c r="CI33" s="111" t="str">
        <f aca="false">IF(    OR(   AND($C33=10000000,    $A$17&lt;=CI$19,      ($A$17+$DH$17)&gt;CI$19    ),   AND($C33&lt;&gt;10000000,  CI$19&gt;=$DW33,    CI$19&lt;=($DX33+$DH$17)  ))   ,$DV33,  "")</f>
        <v/>
      </c>
      <c r="CJ33" s="111" t="str">
        <f aca="false">IF(    OR(   AND($C33=10000000,    $A$17&lt;=CJ$19,      ($A$17+$DH$17)&gt;CJ$19    ),   AND($C33&lt;&gt;10000000,  CJ$19&gt;=$DW33,    CJ$19&lt;=($DX33+$DH$17)  ))   ,$DV33,  "")</f>
        <v/>
      </c>
      <c r="CK33" s="111" t="str">
        <f aca="false">IF(    OR(   AND($C33=10000000,    $A$17&lt;=CK$19,      ($A$17+$DH$17)&gt;CK$19    ),   AND($C33&lt;&gt;10000000,  CK$19&gt;=$DW33,    CK$19&lt;=($DX33+$DH$17)  ))   ,$DV33,  "")</f>
        <v/>
      </c>
      <c r="CL33" s="111" t="str">
        <f aca="false">IF(    OR(   AND($C33=10000000,    $A$17&lt;=CL$19,      ($A$17+$DH$17)&gt;CL$19    ),   AND($C33&lt;&gt;10000000,  CL$19&gt;=$DW33,    CL$19&lt;=($DX33+$DH$17)  ))   ,$DV33,  "")</f>
        <v/>
      </c>
      <c r="CM33" s="111" t="str">
        <f aca="false">IF(    OR(   AND($C33=10000000,    $A$17&lt;=CM$19,      ($A$17+$DH$17)&gt;CM$19    ),   AND($C33&lt;&gt;10000000,  CM$19&gt;=$DW33,    CM$19&lt;=($DX33+$DH$17)  ))   ,$DV33,  "")</f>
        <v/>
      </c>
      <c r="CN33" s="111" t="str">
        <f aca="false">IF(    OR(   AND($C33=10000000,    $A$17&lt;=CN$19,      ($A$17+$DH$17)&gt;CN$19    ),   AND($C33&lt;&gt;10000000,  CN$19&gt;=$DW33,    CN$19&lt;=($DX33+$DH$17)  ))   ,$DV33,  "")</f>
        <v/>
      </c>
      <c r="CO33" s="111" t="str">
        <f aca="false">IF(    OR(   AND($C33=10000000,    $A$17&lt;=CO$19,      ($A$17+$DH$17)&gt;CO$19    ),   AND($C33&lt;&gt;10000000,  CO$19&gt;=$DW33,    CO$19&lt;=($DX33+$DH$17)  ))   ,$DV33,  "")</f>
        <v/>
      </c>
      <c r="CP33" s="111" t="str">
        <f aca="false">IF(    OR(   AND($C33=10000000,    $A$17&lt;=CP$19,      ($A$17+$DH$17)&gt;CP$19    ),   AND($C33&lt;&gt;10000000,  CP$19&gt;=$DW33,    CP$19&lt;=($DX33+$DH$17)  ))   ,$DV33,  "")</f>
        <v/>
      </c>
      <c r="CQ33" s="111" t="str">
        <f aca="false">IF(    OR(   AND($C33=10000000,    $A$17&lt;=CQ$19,      ($A$17+$DH$17)&gt;CQ$19    ),   AND($C33&lt;&gt;10000000,  CQ$19&gt;=$DW33,    CQ$19&lt;=($DX33+$DH$17)  ))   ,$DV33,  "")</f>
        <v/>
      </c>
      <c r="CR33" s="111" t="str">
        <f aca="false">IF(    OR(   AND($C33=10000000,    $A$17&lt;=CR$19,      ($A$17+$DH$17)&gt;CR$19    ),   AND($C33&lt;&gt;10000000,  CR$19&gt;=$DW33,    CR$19&lt;=($DX33+$DH$17)  ))   ,$DV33,  "")</f>
        <v/>
      </c>
      <c r="CS33" s="111" t="str">
        <f aca="false">IF(    OR(   AND($C33=10000000,    $A$17&lt;=CS$19,      ($A$17+$DH$17)&gt;CS$19    ),   AND($C33&lt;&gt;10000000,  CS$19&gt;=$DW33,    CS$19&lt;=($DX33+$DH$17)  ))   ,$DV33,  "")</f>
        <v/>
      </c>
      <c r="CT33" s="111" t="str">
        <f aca="false">IF(    OR(   AND($C33=10000000,    $A$17&lt;=CT$19,      ($A$17+$DH$17)&gt;CT$19    ),   AND($C33&lt;&gt;10000000,  CT$19&gt;=$DW33,    CT$19&lt;=($DX33+$DH$17)  ))   ,$DV33,  "")</f>
        <v/>
      </c>
      <c r="CU33" s="111" t="str">
        <f aca="false">IF(    OR(   AND($C33=10000000,    $A$17&lt;=CU$19,      ($A$17+$DH$17)&gt;CU$19    ),   AND($C33&lt;&gt;10000000,  CU$19&gt;=$DW33,    CU$19&lt;=($DX33+$DH$17)  ))   ,$DV33,  "")</f>
        <v/>
      </c>
      <c r="CV33" s="111" t="str">
        <f aca="false">IF(    OR(   AND($C33=10000000,    $A$17&lt;=CV$19,      ($A$17+$DH$17)&gt;CV$19    ),   AND($C33&lt;&gt;10000000,  CV$19&gt;=$DW33,    CV$19&lt;=($DX33+$DH$17)  ))   ,$DV33,  "")</f>
        <v/>
      </c>
      <c r="CW33" s="111" t="str">
        <f aca="false">IF(    OR(   AND($C33=10000000,    $A$17&lt;=CW$19,      ($A$17+$DH$17)&gt;CW$19    ),   AND($C33&lt;&gt;10000000,  CW$19&gt;=$DW33,    CW$19&lt;=($DX33+$DH$17)  ))   ,$DV33,  "")</f>
        <v/>
      </c>
      <c r="CX33" s="111" t="str">
        <f aca="false">IF(    OR(   AND($C33=10000000,    $A$17&lt;=CX$19,      ($A$17+$DH$17)&gt;CX$19    ),   AND($C33&lt;&gt;10000000,  CX$19&gt;=$DW33,    CX$19&lt;=($DX33+$DH$17)  ))   ,$DV33,  "")</f>
        <v/>
      </c>
      <c r="CY33" s="111" t="str">
        <f aca="false">IF(    OR(   AND($C33=10000000,    $A$17&lt;=CY$19,      ($A$17+$DH$17)&gt;CY$19    ),   AND($C33&lt;&gt;10000000,  CY$19&gt;=$DW33,    CY$19&lt;=($DX33+$DH$17)  ))   ,$DV33,  "")</f>
        <v/>
      </c>
      <c r="CZ33" s="111" t="str">
        <f aca="false">IF(    OR(   AND($C33=10000000,    $A$17&lt;=CZ$19,      ($A$17+$DH$17)&gt;CZ$19    ),   AND($C33&lt;&gt;10000000,  CZ$19&gt;=$DW33,    CZ$19&lt;=($DX33+$DH$17)  ))   ,$DV33,  "")</f>
        <v/>
      </c>
      <c r="DA33" s="111" t="str">
        <f aca="false">IF(    OR(   AND($C33=10000000,    $A$17&lt;=DA$19,      ($A$17+$DH$17)&gt;DA$19    ),   AND($C33&lt;&gt;10000000,  DA$19&gt;=$DW33,    DA$19&lt;=($DX33+$DH$17)  ))   ,$DV33,  "")</f>
        <v/>
      </c>
      <c r="DB33" s="111" t="str">
        <f aca="false">IF(    OR(   AND($C33=10000000,    $A$17&lt;=DB$19,      ($A$17+$DH$17)&gt;DB$19    ),   AND($C33&lt;&gt;10000000,  DB$19&gt;=$DW33,    DB$19&lt;=($DX33+$DH$17)  ))   ,$DV33,  "")</f>
        <v/>
      </c>
      <c r="DC33" s="111" t="str">
        <f aca="false">IF(    OR(   AND($C33=10000000,    $A$17&lt;=DC$19,      ($A$17+$DH$17)&gt;DC$19    ),   AND($C33&lt;&gt;10000000,  DC$19&gt;=$DW33,    DC$19&lt;=($DX33+$DH$17)  ))   ,$DV33,  "")</f>
        <v/>
      </c>
      <c r="DD33" s="111" t="str">
        <f aca="false">IF(    OR(   AND($C33=10000000,    $A$17&lt;=DD$19,      ($A$17+$DH$17)&gt;DD$19    ),   AND($C33&lt;&gt;10000000,  DD$19&gt;=$DW33,    DD$19&lt;=($DX33+$DH$17)  ))   ,$DV33,  "")</f>
        <v/>
      </c>
      <c r="DE33" s="111" t="str">
        <f aca="false">IF(    OR(   AND($C33=10000000,    $A$17&lt;=DE$19,      ($A$17+$DH$17)&gt;DE$19    ),   AND($C33&lt;&gt;10000000,  DE$19&gt;=$DW33,    DE$19&lt;=($DX33+$DH$17)  ))   ,$DV33,  "")</f>
        <v/>
      </c>
      <c r="DF33" s="111" t="str">
        <f aca="false">IF(    OR(   AND($C33=10000000,    $A$17&lt;=DF$19,      ($A$17+$DH$17)&gt;DF$19    ),   AND($C33&lt;&gt;10000000,  DF$19&gt;=$DW33,    DF$19&lt;=($DX33+$DH$17)  ))   ,$DV33,  "")</f>
        <v/>
      </c>
      <c r="DG33" s="111" t="str">
        <f aca="false">IF(    OR(   AND($C33=10000000,    $A$17&lt;=DG$19,      ($A$17+$DH$17)&gt;DG$19    ),   AND($C33&lt;&gt;10000000,  DG$19&gt;=$DW33,    DG$19&lt;=($DX33+$DH$17)  ))   ,$DV33,  "")</f>
        <v/>
      </c>
      <c r="DH33" s="111" t="str">
        <f aca="false">IF(    OR(   AND($C33=10000000,    $A$17&lt;=DH$19,      ($A$17+$DH$17)&gt;DH$19    ),   AND($C33&lt;&gt;10000000,  DH$19&gt;=$DW33,    DH$19&lt;=($DX33+$DH$17)  ))   ,$DV33,  "")</f>
        <v/>
      </c>
      <c r="DI33" s="112" t="str">
        <f aca="false">IF(BB33="","",IF(ISERROR(FIND(CHAR(10),BB33,1)),BB33,LEFT(BB33,FIND(CHAR(10),BB33,1))))</f>
        <v/>
      </c>
      <c r="DJ33" s="53" t="str">
        <f aca="false">IF(BB33="","",IFERROR(RIGHT(BB33,LEN(BB33)-FIND("@@@",SUBSTITUTE(BB33,CHAR(10),"@@@",LEN(BB33)-LEN(SUBSTITUTE(BB33,CHAR(10),""))),1)),BB33))</f>
        <v/>
      </c>
      <c r="DK33" s="53" t="str">
        <f aca="false">IF(BC33="","",IFERROR(RIGHT(BC33,LEN(BC33)-FIND("@@@",SUBSTITUTE(BC33,CHAR(10),"@@@",LEN(BC33)-LEN(SUBSTITUTE(BC33,CHAR(10),""))),1)),BC33))</f>
        <v/>
      </c>
      <c r="DL33" s="113" t="str">
        <f aca="false">IFERROR(DATE(("20"&amp;MID(DI33,7,2))*1,MID(DI33,4,2)*1,MID(DI33,1,2)*1),"none")</f>
        <v>none</v>
      </c>
      <c r="DM33" s="113" t="str">
        <f aca="false">IFERROR(DATE(("20"&amp;MID(DJ33,7,2))*1,MID(DJ33,4,2)*1,MID(DJ33,1,2)*1),"none")</f>
        <v>none</v>
      </c>
      <c r="DN33" s="113" t="n">
        <f aca="false">IF(DL33&lt;&gt;"none",DL33,DATE(1900,1,1))</f>
        <v>2</v>
      </c>
      <c r="DO33" s="113" t="n">
        <f aca="false">IF(DM33&lt;&gt;"none",DM33,DN33)</f>
        <v>2</v>
      </c>
      <c r="DP33" s="114" t="n">
        <f aca="false">_xlfn.DAYS($A$17,DN33)</f>
        <v>45332</v>
      </c>
      <c r="DQ33" s="114" t="n">
        <f aca="false">_xlfn.DAYS($A$17, DO33)</f>
        <v>45332</v>
      </c>
      <c r="DR33" s="51" t="n">
        <f aca="false">IF(DO33&lt;&gt;"",INT(DQ33/7),0)</f>
        <v>6476</v>
      </c>
      <c r="DS33" s="114" t="n">
        <f aca="false">IF(M33="Overdue",_xlfn.DAYS($A$17,AL33),0)</f>
        <v>0</v>
      </c>
      <c r="DT33" s="114" t="n">
        <f aca="false">IF(AH33="Project",_xlfn.DAYS(AL33,$A$17),0)</f>
        <v>0</v>
      </c>
      <c r="DU33" s="51" t="str">
        <f aca="false">IFERROR(INDEX(Static!$D$5:$E$11,MATCH(AH33,Static!$D$5:$D$11,0),2),"")</f>
        <v/>
      </c>
      <c r="DV33" s="51" t="str">
        <f aca="false">IF(C33=10000000,"Red",IF(OR(C33=11000000,C33=12000000),"Black",IF(C33=11100000,"Dark",IF(AND(C33=12100000,M33="Completed"),"Green",IF(AND(C33=12100000,M33="Overdue"),"Red",IF(C33=12100000,"Dark",IF(AND(C33=12110000,M33="Overdue"),"LightRed",IF(AND(C33=12110000,M33="Completed"),"LightGreen",IF(OR(C33=11110000,C33=12110000),"Light",IF(AND(C33=12111000,M33="Overdue"),"SoftRed",IF(AND(C33=12111000,M33="Completed"),"SoftGreen",IF(OR(C33=11111000,C33=12111000),"Grey",""))))))))))))</f>
        <v/>
      </c>
      <c r="DW33" s="49" t="n">
        <f aca="false">IF(AK33&lt;&gt;"",AK33,$BI$19)</f>
        <v>44927</v>
      </c>
      <c r="DX33" s="49" t="n">
        <f aca="false">IF(AL33&lt;&gt;"",AL33,$DH$19)</f>
        <v>45657</v>
      </c>
      <c r="DY33" s="79" t="s">
        <v>450</v>
      </c>
    </row>
    <row r="34" customFormat="false" ht="14.15" hidden="false" customHeight="true" outlineLevel="0" collapsed="false">
      <c r="A34" s="63"/>
      <c r="B34" s="53" t="n">
        <f aca="false">AH34</f>
        <v>0</v>
      </c>
      <c r="C34" s="51" t="n">
        <f aca="false">IFERROR(INDEX(Static!$D$5:$F$11,MATCH(AH34,Static!$D$5:$D$11,0),3),90000000)</f>
        <v>90000000</v>
      </c>
      <c r="D34" s="51" t="str">
        <f aca="false">MID(C34,2,1)</f>
        <v>0</v>
      </c>
      <c r="E34" s="53" t="str">
        <f aca="false">AB34</f>
        <v/>
      </c>
      <c r="F34" s="51" t="str">
        <f aca="false">IF(B34="Venture",0,IF(OR(B34="Project",B34="Stream",B34="Action"),AK34,""))</f>
        <v/>
      </c>
      <c r="G34" s="51" t="n">
        <f aca="false">AS34</f>
        <v>0</v>
      </c>
      <c r="H34" s="51" t="str">
        <f aca="false">IF(B34="Venture",0,IFERROR(INDEX($E$20:$F$55,MATCH(G34,$E$20:$E$55,0),2),""))</f>
        <v/>
      </c>
      <c r="I34" s="51" t="str">
        <f aca="false">IF(B34="Venture",0,IFERROR(INDEX($E$20:$G$55,MATCH(G34,$E$20:$E$55,0),3),""))</f>
        <v/>
      </c>
      <c r="J34" s="51" t="str">
        <f aca="false">IF(B34="Venture",0,IFERROR(INDEX($E$20:$H$55,MATCH(G34,$E$20:$E$55,0),4),""))</f>
        <v/>
      </c>
      <c r="K34" s="51" t="n">
        <f aca="false">IF(B34="Venture",0,IFERROR(INDEX($E$20:$G$55,MATCH(I34,$E$20:$E$55,0),3),""))</f>
        <v>0</v>
      </c>
      <c r="L34" s="51" t="str">
        <f aca="false">IF(M34="Completed","Completed","Ongoing")</f>
        <v>Ongoing</v>
      </c>
      <c r="M34" s="51" t="n">
        <f aca="false">IF(OR(AH34="Venture",AH34="Routine",AH34="Run Goal", AH34="Chg Goal", AH34=""),AH34,IF(AN34&lt;&gt;"","Completed",IF(AM34&lt;&gt;"","Pending",IF(AND(AL34&lt;&gt;"",$A$17&gt;AL34),"Overdue",IF($A$17&gt;AK34,"Started","Open")))))</f>
        <v>0</v>
      </c>
      <c r="N34" s="50" t="n">
        <f aca="false">((LEN($BC34)-LEN(SUBSTITUTE($BC34,CHAR(10)&amp;". ","")))/3)+IF(LEFT(TRIM($BC34),2)=". ",1,0)</f>
        <v>0</v>
      </c>
      <c r="O34" s="50" t="n">
        <f aca="false">((LEN($BC34)-LEN(SUBSTITUTE($BC34,CHAR(10)&amp;"/ ","")))/3)+IF(LEFT(TRIM($BC34),2)="/ ",1,0)</f>
        <v>0</v>
      </c>
      <c r="P34" s="50" t="n">
        <f aca="false">((LEN($BC34)-LEN(SUBSTITUTE($BC34,CHAR(10)&amp;"~ ","")))/3)+IF(LEFT(TRIM($BC34),2)="~ ",1,0)</f>
        <v>0</v>
      </c>
      <c r="Q34" s="50" t="n">
        <f aca="false">((LEN($BC34)-LEN(SUBSTITUTE($BC34,CHAR(10)&amp;"! ","")))/3)+IF(LEFT(TRIM($BC34),2)="! ",1,0)</f>
        <v>0</v>
      </c>
      <c r="R34" s="50" t="n">
        <f aca="false">((LEN($BC34)-LEN(SUBSTITUTE($BC34,CHAR(10)&amp;"x ","")))/3)+IF(LEFT(TRIM($BC34),2)="x ",1,0)</f>
        <v>0</v>
      </c>
      <c r="S34" s="50" t="n">
        <f aca="false">SUM(N34:R34)</f>
        <v>0</v>
      </c>
      <c r="T34" s="51" t="n">
        <f aca="false">IF(OR($B34="Drill",$B34="Action"),$AO34,0)</f>
        <v>0</v>
      </c>
      <c r="U34" s="51" t="n">
        <f aca="false">IF(OR($B34="Sub",$B34="Stream"),$AO34+SUMIFS($AO$20:$AO$55,$G$20:$G$55,$E34),0)</f>
        <v>0</v>
      </c>
      <c r="V34" s="51" t="n">
        <f aca="false">IF(OR($B34="Routine",$B34="Project"),$AO34+SUMIFS($U$20:$U$55,$G$20:$G$55,$E34),0)</f>
        <v>0</v>
      </c>
      <c r="W34" s="51" t="n">
        <f aca="false">IF($B34="Venture",$AO34+SUMIFS($V$20:$V$55,$G$20:$G$55,$E34),0)</f>
        <v>0</v>
      </c>
      <c r="X34" s="51" t="n">
        <f aca="false">IF(OR($B34="Drill",$B34="Action"),$AP34,0)</f>
        <v>0</v>
      </c>
      <c r="Y34" s="51" t="n">
        <f aca="false">IF(OR($B34="Sub",$B34="Stream"),$AP34+SUMIFS($AP$20:$AP$55,$G$20:$G$55,$E34),0)</f>
        <v>0</v>
      </c>
      <c r="Z34" s="51" t="n">
        <f aca="false">IF(OR($B34="Routine",$B34="Project"),$AP34+SUMIFS($Y$20:$Y$55,$G$20:$G$55,$E34),0)</f>
        <v>0</v>
      </c>
      <c r="AA34" s="51" t="n">
        <f aca="false">IF($B34="Venture",$AP34+SUMIFS($Z$20:$Z$55,$G$20:$G$55,$E34),0)</f>
        <v>0</v>
      </c>
      <c r="AB34" s="51" t="str">
        <f aca="false">IF(OR(AH34="Venture", AH34="Run Goal", AH34="Chg Goal"),AI34,AH34&amp;AI34&amp;AR34)</f>
        <v/>
      </c>
      <c r="AC34" s="53" t="str">
        <f aca="false">"  -  "&amp;IF(C34=90000000,9&amp;"Z",D34&amp;AE34&amp;IF(OR(B34="Run Goal",B34="Chg Goal", B34="Venture"),"",IF(OR(B34="Routine",B34="Project"),F34&amp;E34,  IF(OR(B34="Sub",B34="Stream"),H34&amp;G34&amp;F34&amp;E34,IF(OR(B34="Drill",B34="Action"),J34&amp;I34&amp;H34&amp;G34&amp;F34&amp;E34,     "") )    )))</f>
        <v>  -  9Z</v>
      </c>
      <c r="AD34" s="51" t="str">
        <f aca="false">IF(AND(AM34="",AN34=""),"Y","N")</f>
        <v>Y</v>
      </c>
      <c r="AE34" s="103" t="str">
        <f aca="false">IF(OR(AF34="Y",AF34="Y"),AF34,IF(DM34="none","N",IF(DM34&gt;($A$17-WEEKDAY($A$17,2)-(7*$AE$18)),"Y","N")))</f>
        <v>N</v>
      </c>
      <c r="AF34" s="104"/>
      <c r="AG34" s="105"/>
      <c r="AH34" s="79"/>
      <c r="AI34" s="56"/>
      <c r="AJ34" s="56"/>
      <c r="AK34" s="106"/>
      <c r="AL34" s="106"/>
      <c r="AM34" s="106"/>
      <c r="AN34" s="106"/>
      <c r="AO34" s="107"/>
      <c r="AP34" s="107"/>
      <c r="AQ34" s="79"/>
      <c r="AR34" s="79"/>
      <c r="AS34" s="79"/>
      <c r="AT34" s="79"/>
      <c r="AU34" s="79"/>
      <c r="AV34" s="79"/>
      <c r="AW34" s="79"/>
      <c r="AX34" s="79"/>
      <c r="AY34" s="79"/>
      <c r="AZ34" s="79"/>
      <c r="BA34" s="63"/>
      <c r="BB34" s="108"/>
      <c r="BC34" s="63"/>
      <c r="BD34" s="51" t="n">
        <f aca="false">SUM(N34:Q34)</f>
        <v>0</v>
      </c>
      <c r="BE34" s="59" t="n">
        <f aca="false">IF(AI34="",1,IF(S34&lt;&gt;0,(O34*0.5+R34)/S34,1))</f>
        <v>1</v>
      </c>
      <c r="BF34" s="81" t="str">
        <f aca="false">IF(AH34="","",IF(AH34="Venture",W34,IF(OR(AH34="Chg Goal",AH34="RUn Goal"),V34,IF(OR(AH34="ROutine",AH34="Project"),V34,IF(OR(AH34="Sub",AH34="Stream"),U34,IF(OR(AH34="Drill",AH34="Action"),T34,0))))))</f>
        <v/>
      </c>
      <c r="BG34" s="81" t="str">
        <f aca="false">IF(AH34="","",IF(AH34="Venture",AA34,IF(OR(AH34="Chg Goal",AH34="RUn Goal"),Z34,IF(OR(AH34="ROutine",AH34="Project"),Z34,IF(OR(AH34="Sub",AH34="Stream"),Y34,IF(OR(AH34="Drill",AH34="Action"),X34,0))))))</f>
        <v/>
      </c>
      <c r="BH34" s="109" t="str">
        <f aca="false">IF(AI34="","",IF(OR(BF34=0, BF34=""),0,BG34/BF34))</f>
        <v/>
      </c>
      <c r="BI34" s="110" t="str">
        <f aca="false">IF(    OR(   AND($C34=10000000,    BI$19&gt;=$A$17,      BI$19 &lt;($A$17+$DH$17)   ),   AND($C34&lt;&gt;10000000,  BI$19&gt;=$DW34,    BI$19&lt;=($DX34+$DH$17)  ))   ,$DV34,  "")</f>
        <v/>
      </c>
      <c r="BJ34" s="111" t="str">
        <f aca="false">IF(    OR(   AND($C34=10000000,    $A$17&lt;=BJ$19,      ($A$17+$DH$17)&gt;BJ$19    ),   AND($C34&lt;&gt;10000000,  BJ$19&gt;=$DW34,    BJ$19&lt;=($DX34+$DH$17)  ))   ,$DV34,  "")</f>
        <v/>
      </c>
      <c r="BK34" s="111" t="str">
        <f aca="false">IF(    OR(   AND($C34=10000000,    $A$17&lt;=BK$19,      ($A$17+$DH$17)&gt;BK$19    ),   AND($C34&lt;&gt;10000000,  BK$19&gt;=$DW34,    BK$19&lt;=($DX34+$DH$17)  ))   ,$DV34,  "")</f>
        <v/>
      </c>
      <c r="BL34" s="111" t="str">
        <f aca="false">IF(    OR(   AND($C34=10000000,    $A$17&lt;=BL$19,      ($A$17+$DH$17)&gt;BL$19    ),   AND($C34&lt;&gt;10000000,  BL$19&gt;=$DW34,    BL$19&lt;=($DX34+$DH$17)  ))   ,$DV34,  "")</f>
        <v/>
      </c>
      <c r="BM34" s="111" t="str">
        <f aca="false">IF(    OR(   AND($C34=10000000,    $A$17&lt;=BM$19,      ($A$17+$DH$17)&gt;BM$19    ),   AND($C34&lt;&gt;10000000,  BM$19&gt;=$DW34,    BM$19&lt;=($DX34+$DH$17)  ))   ,$DV34,  "")</f>
        <v/>
      </c>
      <c r="BN34" s="111" t="str">
        <f aca="false">IF(    OR(   AND($C34=10000000,    $A$17&lt;=BN$19,      ($A$17+$DH$17)&gt;BN$19    ),   AND($C34&lt;&gt;10000000,  BN$19&gt;=$DW34,    BN$19&lt;=($DX34+$DH$17)  ))   ,$DV34,  "")</f>
        <v/>
      </c>
      <c r="BO34" s="111" t="str">
        <f aca="false">IF(    OR(   AND($C34=10000000,    $A$17&lt;=BO$19,      ($A$17+$DH$17)&gt;BO$19    ),   AND($C34&lt;&gt;10000000,  BO$19&gt;=$DW34,    BO$19&lt;=($DX34+$DH$17)  ))   ,$DV34,  "")</f>
        <v/>
      </c>
      <c r="BP34" s="111" t="str">
        <f aca="false">IF(    OR(   AND($C34=10000000,    $A$17&lt;=BP$19,      ($A$17+$DH$17)&gt;BP$19    ),   AND($C34&lt;&gt;10000000,  BP$19&gt;=$DW34,    BP$19&lt;=($DX34+$DH$17)  ))   ,$DV34,  "")</f>
        <v/>
      </c>
      <c r="BQ34" s="111" t="str">
        <f aca="false">IF(    OR(   AND($C34=10000000,    $A$17&lt;=BQ$19,      ($A$17+$DH$17)&gt;BQ$19    ),   AND($C34&lt;&gt;10000000,  BQ$19&gt;=$DW34,    BQ$19&lt;=($DX34+$DH$17)  ))   ,$DV34,  "")</f>
        <v/>
      </c>
      <c r="BR34" s="111" t="str">
        <f aca="false">IF(    OR(   AND($C34=10000000,    $A$17&lt;=BR$19,      ($A$17+$DH$17)&gt;BR$19    ),   AND($C34&lt;&gt;10000000,  BR$19&gt;=$DW34,    BR$19&lt;=($DX34+$DH$17)  ))   ,$DV34,  "")</f>
        <v/>
      </c>
      <c r="BS34" s="111" t="str">
        <f aca="false">IF(    OR(   AND($C34=10000000,    $A$17&lt;=BS$19,      ($A$17+$DH$17)&gt;BS$19    ),   AND($C34&lt;&gt;10000000,  BS$19&gt;=$DW34,    BS$19&lt;=($DX34+$DH$17)  ))   ,$DV34,  "")</f>
        <v/>
      </c>
      <c r="BT34" s="111" t="str">
        <f aca="false">IF(    OR(   AND($C34=10000000,    $A$17&lt;=BT$19,      ($A$17+$DH$17)&gt;BT$19    ),   AND($C34&lt;&gt;10000000,  BT$19&gt;=$DW34,    BT$19&lt;=($DX34+$DH$17)  ))   ,$DV34,  "")</f>
        <v/>
      </c>
      <c r="BU34" s="111" t="str">
        <f aca="false">IF(    OR(   AND($C34=10000000,    $A$17&lt;=BU$19,      ($A$17+$DH$17)&gt;BU$19    ),   AND($C34&lt;&gt;10000000,  BU$19&gt;=$DW34,    BU$19&lt;=($DX34+$DH$17)  ))   ,$DV34,  "")</f>
        <v/>
      </c>
      <c r="BV34" s="111" t="str">
        <f aca="false">IF(    OR(   AND($C34=10000000,    $A$17&lt;=BV$19,      ($A$17+$DH$17)&gt;BV$19    ),   AND($C34&lt;&gt;10000000,  BV$19&gt;=$DW34,    BV$19&lt;=($DX34+$DH$17)  ))   ,$DV34,  "")</f>
        <v/>
      </c>
      <c r="BW34" s="111" t="str">
        <f aca="false">IF(    OR(   AND($C34=10000000,    $A$17&lt;=BW$19,      ($A$17+$DH$17)&gt;BW$19    ),   AND($C34&lt;&gt;10000000,  BW$19&gt;=$DW34,    BW$19&lt;=($DX34+$DH$17)  ))   ,$DV34,  "")</f>
        <v/>
      </c>
      <c r="BX34" s="111" t="str">
        <f aca="false">IF(    OR(   AND($C34=10000000,    $A$17&lt;=BX$19,      ($A$17+$DH$17)&gt;BX$19    ),   AND($C34&lt;&gt;10000000,  BX$19&gt;=$DW34,    BX$19&lt;=($DX34+$DH$17)  ))   ,$DV34,  "")</f>
        <v/>
      </c>
      <c r="BY34" s="111" t="str">
        <f aca="false">IF(    OR(   AND($C34=10000000,    $A$17&lt;=BY$19,      ($A$17+$DH$17)&gt;BY$19    ),   AND($C34&lt;&gt;10000000,  BY$19&gt;=$DW34,    BY$19&lt;=($DX34+$DH$17)  ))   ,$DV34,  "")</f>
        <v/>
      </c>
      <c r="BZ34" s="111" t="str">
        <f aca="false">IF(    OR(   AND($C34=10000000,    $A$17&lt;=BZ$19,      ($A$17+$DH$17)&gt;BZ$19    ),   AND($C34&lt;&gt;10000000,  BZ$19&gt;=$DW34,    BZ$19&lt;=($DX34+$DH$17)  ))   ,$DV34,  "")</f>
        <v/>
      </c>
      <c r="CA34" s="111" t="str">
        <f aca="false">IF(    OR(   AND($C34=10000000,    $A$17&lt;=CA$19,      ($A$17+$DH$17)&gt;CA$19    ),   AND($C34&lt;&gt;10000000,  CA$19&gt;=$DW34,    CA$19&lt;=($DX34+$DH$17)  ))   ,$DV34,  "")</f>
        <v/>
      </c>
      <c r="CB34" s="111" t="str">
        <f aca="false">IF(    OR(   AND($C34=10000000,    $A$17&lt;=CB$19,      ($A$17+$DH$17)&gt;CB$19    ),   AND($C34&lt;&gt;10000000,  CB$19&gt;=$DW34,    CB$19&lt;=($DX34+$DH$17)  ))   ,$DV34,  "")</f>
        <v/>
      </c>
      <c r="CC34" s="111" t="str">
        <f aca="false">IF(    OR(   AND($C34=10000000,    $A$17&lt;=CC$19,      ($A$17+$DH$17)&gt;CC$19    ),   AND($C34&lt;&gt;10000000,  CC$19&gt;=$DW34,    CC$19&lt;=($DX34+$DH$17)  ))   ,$DV34,  "")</f>
        <v/>
      </c>
      <c r="CD34" s="111" t="str">
        <f aca="false">IF(    OR(   AND($C34=10000000,    $A$17&lt;=CD$19,      ($A$17+$DH$17)&gt;CD$19    ),   AND($C34&lt;&gt;10000000,  CD$19&gt;=$DW34,    CD$19&lt;=($DX34+$DH$17)  ))   ,$DV34,  "")</f>
        <v/>
      </c>
      <c r="CE34" s="111" t="str">
        <f aca="false">IF(    OR(   AND($C34=10000000,    $A$17&lt;=CE$19,      ($A$17+$DH$17)&gt;CE$19    ),   AND($C34&lt;&gt;10000000,  CE$19&gt;=$DW34,    CE$19&lt;=($DX34+$DH$17)  ))   ,$DV34,  "")</f>
        <v/>
      </c>
      <c r="CF34" s="111" t="str">
        <f aca="false">IF(    OR(   AND($C34=10000000,    $A$17&lt;=CF$19,      ($A$17+$DH$17)&gt;CF$19    ),   AND($C34&lt;&gt;10000000,  CF$19&gt;=$DW34,    CF$19&lt;=($DX34+$DH$17)  ))   ,$DV34,  "")</f>
        <v/>
      </c>
      <c r="CG34" s="111" t="str">
        <f aca="false">IF(    OR(   AND($C34=10000000,    $A$17&lt;=CG$19,      ($A$17+$DH$17)&gt;CG$19    ),   AND($C34&lt;&gt;10000000,  CG$19&gt;=$DW34,    CG$19&lt;=($DX34+$DH$17)  ))   ,$DV34,  "")</f>
        <v/>
      </c>
      <c r="CH34" s="111" t="str">
        <f aca="false">IF(    OR(   AND($C34=10000000,    $A$17&lt;=CH$19,      ($A$17+$DH$17)&gt;CH$19    ),   AND($C34&lt;&gt;10000000,  CH$19&gt;=$DW34,    CH$19&lt;=($DX34+$DH$17)  ))   ,$DV34,  "")</f>
        <v/>
      </c>
      <c r="CI34" s="111" t="str">
        <f aca="false">IF(    OR(   AND($C34=10000000,    $A$17&lt;=CI$19,      ($A$17+$DH$17)&gt;CI$19    ),   AND($C34&lt;&gt;10000000,  CI$19&gt;=$DW34,    CI$19&lt;=($DX34+$DH$17)  ))   ,$DV34,  "")</f>
        <v/>
      </c>
      <c r="CJ34" s="111" t="str">
        <f aca="false">IF(    OR(   AND($C34=10000000,    $A$17&lt;=CJ$19,      ($A$17+$DH$17)&gt;CJ$19    ),   AND($C34&lt;&gt;10000000,  CJ$19&gt;=$DW34,    CJ$19&lt;=($DX34+$DH$17)  ))   ,$DV34,  "")</f>
        <v/>
      </c>
      <c r="CK34" s="111" t="str">
        <f aca="false">IF(    OR(   AND($C34=10000000,    $A$17&lt;=CK$19,      ($A$17+$DH$17)&gt;CK$19    ),   AND($C34&lt;&gt;10000000,  CK$19&gt;=$DW34,    CK$19&lt;=($DX34+$DH$17)  ))   ,$DV34,  "")</f>
        <v/>
      </c>
      <c r="CL34" s="111" t="str">
        <f aca="false">IF(    OR(   AND($C34=10000000,    $A$17&lt;=CL$19,      ($A$17+$DH$17)&gt;CL$19    ),   AND($C34&lt;&gt;10000000,  CL$19&gt;=$DW34,    CL$19&lt;=($DX34+$DH$17)  ))   ,$DV34,  "")</f>
        <v/>
      </c>
      <c r="CM34" s="111" t="str">
        <f aca="false">IF(    OR(   AND($C34=10000000,    $A$17&lt;=CM$19,      ($A$17+$DH$17)&gt;CM$19    ),   AND($C34&lt;&gt;10000000,  CM$19&gt;=$DW34,    CM$19&lt;=($DX34+$DH$17)  ))   ,$DV34,  "")</f>
        <v/>
      </c>
      <c r="CN34" s="111" t="str">
        <f aca="false">IF(    OR(   AND($C34=10000000,    $A$17&lt;=CN$19,      ($A$17+$DH$17)&gt;CN$19    ),   AND($C34&lt;&gt;10000000,  CN$19&gt;=$DW34,    CN$19&lt;=($DX34+$DH$17)  ))   ,$DV34,  "")</f>
        <v/>
      </c>
      <c r="CO34" s="111" t="str">
        <f aca="false">IF(    OR(   AND($C34=10000000,    $A$17&lt;=CO$19,      ($A$17+$DH$17)&gt;CO$19    ),   AND($C34&lt;&gt;10000000,  CO$19&gt;=$DW34,    CO$19&lt;=($DX34+$DH$17)  ))   ,$DV34,  "")</f>
        <v/>
      </c>
      <c r="CP34" s="111" t="str">
        <f aca="false">IF(    OR(   AND($C34=10000000,    $A$17&lt;=CP$19,      ($A$17+$DH$17)&gt;CP$19    ),   AND($C34&lt;&gt;10000000,  CP$19&gt;=$DW34,    CP$19&lt;=($DX34+$DH$17)  ))   ,$DV34,  "")</f>
        <v/>
      </c>
      <c r="CQ34" s="111" t="str">
        <f aca="false">IF(    OR(   AND($C34=10000000,    $A$17&lt;=CQ$19,      ($A$17+$DH$17)&gt;CQ$19    ),   AND($C34&lt;&gt;10000000,  CQ$19&gt;=$DW34,    CQ$19&lt;=($DX34+$DH$17)  ))   ,$DV34,  "")</f>
        <v/>
      </c>
      <c r="CR34" s="111" t="str">
        <f aca="false">IF(    OR(   AND($C34=10000000,    $A$17&lt;=CR$19,      ($A$17+$DH$17)&gt;CR$19    ),   AND($C34&lt;&gt;10000000,  CR$19&gt;=$DW34,    CR$19&lt;=($DX34+$DH$17)  ))   ,$DV34,  "")</f>
        <v/>
      </c>
      <c r="CS34" s="111" t="str">
        <f aca="false">IF(    OR(   AND($C34=10000000,    $A$17&lt;=CS$19,      ($A$17+$DH$17)&gt;CS$19    ),   AND($C34&lt;&gt;10000000,  CS$19&gt;=$DW34,    CS$19&lt;=($DX34+$DH$17)  ))   ,$DV34,  "")</f>
        <v/>
      </c>
      <c r="CT34" s="111" t="str">
        <f aca="false">IF(    OR(   AND($C34=10000000,    $A$17&lt;=CT$19,      ($A$17+$DH$17)&gt;CT$19    ),   AND($C34&lt;&gt;10000000,  CT$19&gt;=$DW34,    CT$19&lt;=($DX34+$DH$17)  ))   ,$DV34,  "")</f>
        <v/>
      </c>
      <c r="CU34" s="111" t="str">
        <f aca="false">IF(    OR(   AND($C34=10000000,    $A$17&lt;=CU$19,      ($A$17+$DH$17)&gt;CU$19    ),   AND($C34&lt;&gt;10000000,  CU$19&gt;=$DW34,    CU$19&lt;=($DX34+$DH$17)  ))   ,$DV34,  "")</f>
        <v/>
      </c>
      <c r="CV34" s="111" t="str">
        <f aca="false">IF(    OR(   AND($C34=10000000,    $A$17&lt;=CV$19,      ($A$17+$DH$17)&gt;CV$19    ),   AND($C34&lt;&gt;10000000,  CV$19&gt;=$DW34,    CV$19&lt;=($DX34+$DH$17)  ))   ,$DV34,  "")</f>
        <v/>
      </c>
      <c r="CW34" s="111" t="str">
        <f aca="false">IF(    OR(   AND($C34=10000000,    $A$17&lt;=CW$19,      ($A$17+$DH$17)&gt;CW$19    ),   AND($C34&lt;&gt;10000000,  CW$19&gt;=$DW34,    CW$19&lt;=($DX34+$DH$17)  ))   ,$DV34,  "")</f>
        <v/>
      </c>
      <c r="CX34" s="111" t="str">
        <f aca="false">IF(    OR(   AND($C34=10000000,    $A$17&lt;=CX$19,      ($A$17+$DH$17)&gt;CX$19    ),   AND($C34&lt;&gt;10000000,  CX$19&gt;=$DW34,    CX$19&lt;=($DX34+$DH$17)  ))   ,$DV34,  "")</f>
        <v/>
      </c>
      <c r="CY34" s="111" t="str">
        <f aca="false">IF(    OR(   AND($C34=10000000,    $A$17&lt;=CY$19,      ($A$17+$DH$17)&gt;CY$19    ),   AND($C34&lt;&gt;10000000,  CY$19&gt;=$DW34,    CY$19&lt;=($DX34+$DH$17)  ))   ,$DV34,  "")</f>
        <v/>
      </c>
      <c r="CZ34" s="111" t="str">
        <f aca="false">IF(    OR(   AND($C34=10000000,    $A$17&lt;=CZ$19,      ($A$17+$DH$17)&gt;CZ$19    ),   AND($C34&lt;&gt;10000000,  CZ$19&gt;=$DW34,    CZ$19&lt;=($DX34+$DH$17)  ))   ,$DV34,  "")</f>
        <v/>
      </c>
      <c r="DA34" s="111" t="str">
        <f aca="false">IF(    OR(   AND($C34=10000000,    $A$17&lt;=DA$19,      ($A$17+$DH$17)&gt;DA$19    ),   AND($C34&lt;&gt;10000000,  DA$19&gt;=$DW34,    DA$19&lt;=($DX34+$DH$17)  ))   ,$DV34,  "")</f>
        <v/>
      </c>
      <c r="DB34" s="111" t="str">
        <f aca="false">IF(    OR(   AND($C34=10000000,    $A$17&lt;=DB$19,      ($A$17+$DH$17)&gt;DB$19    ),   AND($C34&lt;&gt;10000000,  DB$19&gt;=$DW34,    DB$19&lt;=($DX34+$DH$17)  ))   ,$DV34,  "")</f>
        <v/>
      </c>
      <c r="DC34" s="111" t="str">
        <f aca="false">IF(    OR(   AND($C34=10000000,    $A$17&lt;=DC$19,      ($A$17+$DH$17)&gt;DC$19    ),   AND($C34&lt;&gt;10000000,  DC$19&gt;=$DW34,    DC$19&lt;=($DX34+$DH$17)  ))   ,$DV34,  "")</f>
        <v/>
      </c>
      <c r="DD34" s="111" t="str">
        <f aca="false">IF(    OR(   AND($C34=10000000,    $A$17&lt;=DD$19,      ($A$17+$DH$17)&gt;DD$19    ),   AND($C34&lt;&gt;10000000,  DD$19&gt;=$DW34,    DD$19&lt;=($DX34+$DH$17)  ))   ,$DV34,  "")</f>
        <v/>
      </c>
      <c r="DE34" s="111" t="str">
        <f aca="false">IF(    OR(   AND($C34=10000000,    $A$17&lt;=DE$19,      ($A$17+$DH$17)&gt;DE$19    ),   AND($C34&lt;&gt;10000000,  DE$19&gt;=$DW34,    DE$19&lt;=($DX34+$DH$17)  ))   ,$DV34,  "")</f>
        <v/>
      </c>
      <c r="DF34" s="111" t="str">
        <f aca="false">IF(    OR(   AND($C34=10000000,    $A$17&lt;=DF$19,      ($A$17+$DH$17)&gt;DF$19    ),   AND($C34&lt;&gt;10000000,  DF$19&gt;=$DW34,    DF$19&lt;=($DX34+$DH$17)  ))   ,$DV34,  "")</f>
        <v/>
      </c>
      <c r="DG34" s="111" t="str">
        <f aca="false">IF(    OR(   AND($C34=10000000,    $A$17&lt;=DG$19,      ($A$17+$DH$17)&gt;DG$19    ),   AND($C34&lt;&gt;10000000,  DG$19&gt;=$DW34,    DG$19&lt;=($DX34+$DH$17)  ))   ,$DV34,  "")</f>
        <v/>
      </c>
      <c r="DH34" s="111" t="str">
        <f aca="false">IF(    OR(   AND($C34=10000000,    $A$17&lt;=DH$19,      ($A$17+$DH$17)&gt;DH$19    ),   AND($C34&lt;&gt;10000000,  DH$19&gt;=$DW34,    DH$19&lt;=($DX34+$DH$17)  ))   ,$DV34,  "")</f>
        <v/>
      </c>
      <c r="DI34" s="112" t="str">
        <f aca="false">IF(BB34="","",IF(ISERROR(FIND(CHAR(10),BB34,1)),BB34,LEFT(BB34,FIND(CHAR(10),BB34,1))))</f>
        <v/>
      </c>
      <c r="DJ34" s="53" t="str">
        <f aca="false">IF(BB34="","",IFERROR(RIGHT(BB34,LEN(BB34)-FIND("@@@",SUBSTITUTE(BB34,CHAR(10),"@@@",LEN(BB34)-LEN(SUBSTITUTE(BB34,CHAR(10),""))),1)),BB34))</f>
        <v/>
      </c>
      <c r="DK34" s="53" t="str">
        <f aca="false">IF(BC34="","",IFERROR(RIGHT(BC34,LEN(BC34)-FIND("@@@",SUBSTITUTE(BC34,CHAR(10),"@@@",LEN(BC34)-LEN(SUBSTITUTE(BC34,CHAR(10),""))),1)),BC34))</f>
        <v/>
      </c>
      <c r="DL34" s="113" t="str">
        <f aca="false">IFERROR(DATE(("20"&amp;MID(DI34,7,2))*1,MID(DI34,4,2)*1,MID(DI34,1,2)*1),"none")</f>
        <v>none</v>
      </c>
      <c r="DM34" s="113" t="str">
        <f aca="false">IFERROR(DATE(("20"&amp;MID(DJ34,7,2))*1,MID(DJ34,4,2)*1,MID(DJ34,1,2)*1),"none")</f>
        <v>none</v>
      </c>
      <c r="DN34" s="113" t="n">
        <f aca="false">IF(DL34&lt;&gt;"none",DL34,DATE(1900,1,1))</f>
        <v>2</v>
      </c>
      <c r="DO34" s="113" t="n">
        <f aca="false">IF(DM34&lt;&gt;"none",DM34,DN34)</f>
        <v>2</v>
      </c>
      <c r="DP34" s="114" t="n">
        <f aca="false">_xlfn.DAYS($A$17,DN34)</f>
        <v>45332</v>
      </c>
      <c r="DQ34" s="114" t="n">
        <f aca="false">_xlfn.DAYS($A$17, DO34)</f>
        <v>45332</v>
      </c>
      <c r="DR34" s="51" t="n">
        <f aca="false">IF(DO34&lt;&gt;"",INT(DQ34/7),0)</f>
        <v>6476</v>
      </c>
      <c r="DS34" s="114" t="n">
        <f aca="false">IF(M34="Overdue",_xlfn.DAYS($A$17,AL34),0)</f>
        <v>0</v>
      </c>
      <c r="DT34" s="114" t="n">
        <f aca="false">IF(AH34="Project",_xlfn.DAYS(AL34,$A$17),0)</f>
        <v>0</v>
      </c>
      <c r="DU34" s="51" t="str">
        <f aca="false">IFERROR(INDEX(Static!$D$5:$E$11,MATCH(AH34,Static!$D$5:$D$11,0),2),"")</f>
        <v/>
      </c>
      <c r="DV34" s="51" t="str">
        <f aca="false">IF(C34=10000000,"Red",IF(OR(C34=11000000,C34=12000000),"Black",IF(C34=11100000,"Dark",IF(AND(C34=12100000,M34="Completed"),"Green",IF(AND(C34=12100000,M34="Overdue"),"Red",IF(C34=12100000,"Dark",IF(AND(C34=12110000,M34="Overdue"),"LightRed",IF(AND(C34=12110000,M34="Completed"),"LightGreen",IF(OR(C34=11110000,C34=12110000),"Light",IF(AND(C34=12111000,M34="Overdue"),"SoftRed",IF(AND(C34=12111000,M34="Completed"),"SoftGreen",IF(OR(C34=11111000,C34=12111000),"Grey",""))))))))))))</f>
        <v/>
      </c>
      <c r="DW34" s="49" t="n">
        <f aca="false">IF(AK34&lt;&gt;"",AK34,$BI$19)</f>
        <v>44927</v>
      </c>
      <c r="DX34" s="49" t="n">
        <f aca="false">IF(AL34&lt;&gt;"",AL34,$DH$19)</f>
        <v>45657</v>
      </c>
      <c r="DY34" s="79" t="s">
        <v>450</v>
      </c>
    </row>
    <row r="35" customFormat="false" ht="14.15" hidden="false" customHeight="true" outlineLevel="0" collapsed="false">
      <c r="A35" s="63"/>
      <c r="B35" s="53" t="n">
        <f aca="false">AH35</f>
        <v>0</v>
      </c>
      <c r="C35" s="51" t="n">
        <f aca="false">IFERROR(INDEX(Static!$D$5:$F$11,MATCH(AH35,Static!$D$5:$D$11,0),3),90000000)</f>
        <v>90000000</v>
      </c>
      <c r="D35" s="51" t="str">
        <f aca="false">MID(C35,2,1)</f>
        <v>0</v>
      </c>
      <c r="E35" s="53" t="str">
        <f aca="false">AB35</f>
        <v/>
      </c>
      <c r="F35" s="51" t="str">
        <f aca="false">IF(B35="Venture",0,IF(OR(B35="Project",B35="Stream",B35="Action"),AK35,""))</f>
        <v/>
      </c>
      <c r="G35" s="51" t="n">
        <f aca="false">AS35</f>
        <v>0</v>
      </c>
      <c r="H35" s="51" t="str">
        <f aca="false">IF(B35="Venture",0,IFERROR(INDEX($E$20:$F$55,MATCH(G35,$E$20:$E$55,0),2),""))</f>
        <v/>
      </c>
      <c r="I35" s="51" t="str">
        <f aca="false">IF(B35="Venture",0,IFERROR(INDEX($E$20:$G$55,MATCH(G35,$E$20:$E$55,0),3),""))</f>
        <v/>
      </c>
      <c r="J35" s="51" t="str">
        <f aca="false">IF(B35="Venture",0,IFERROR(INDEX($E$20:$H$55,MATCH(G35,$E$20:$E$55,0),4),""))</f>
        <v/>
      </c>
      <c r="K35" s="51" t="n">
        <f aca="false">IF(B35="Venture",0,IFERROR(INDEX($E$20:$G$55,MATCH(I35,$E$20:$E$55,0),3),""))</f>
        <v>0</v>
      </c>
      <c r="L35" s="51" t="str">
        <f aca="false">IF(M35="Completed","Completed","Ongoing")</f>
        <v>Ongoing</v>
      </c>
      <c r="M35" s="51" t="n">
        <f aca="false">IF(OR(AH35="Venture",AH35="Routine",AH35="Run Goal", AH35="Chg Goal", AH35=""),AH35,IF(AN35&lt;&gt;"","Completed",IF(AM35&lt;&gt;"","Pending",IF(AND(AL35&lt;&gt;"",$A$17&gt;AL35),"Overdue",IF($A$17&gt;AK35,"Started","Open")))))</f>
        <v>0</v>
      </c>
      <c r="N35" s="50" t="n">
        <f aca="false">((LEN($BC35)-LEN(SUBSTITUTE($BC35,CHAR(10)&amp;". ","")))/3)+IF(LEFT(TRIM($BC35),2)=". ",1,0)</f>
        <v>0</v>
      </c>
      <c r="O35" s="50" t="n">
        <f aca="false">((LEN($BC35)-LEN(SUBSTITUTE($BC35,CHAR(10)&amp;"/ ","")))/3)+IF(LEFT(TRIM($BC35),2)="/ ",1,0)</f>
        <v>0</v>
      </c>
      <c r="P35" s="50" t="n">
        <f aca="false">((LEN($BC35)-LEN(SUBSTITUTE($BC35,CHAR(10)&amp;"~ ","")))/3)+IF(LEFT(TRIM($BC35),2)="~ ",1,0)</f>
        <v>0</v>
      </c>
      <c r="Q35" s="50" t="n">
        <f aca="false">((LEN($BC35)-LEN(SUBSTITUTE($BC35,CHAR(10)&amp;"! ","")))/3)+IF(LEFT(TRIM($BC35),2)="! ",1,0)</f>
        <v>0</v>
      </c>
      <c r="R35" s="50" t="n">
        <f aca="false">((LEN($BC35)-LEN(SUBSTITUTE($BC35,CHAR(10)&amp;"x ","")))/3)+IF(LEFT(TRIM($BC35),2)="x ",1,0)</f>
        <v>0</v>
      </c>
      <c r="S35" s="50" t="n">
        <f aca="false">SUM(N35:R35)</f>
        <v>0</v>
      </c>
      <c r="T35" s="51" t="n">
        <f aca="false">IF(OR($B35="Drill",$B35="Action"),$AO35,0)</f>
        <v>0</v>
      </c>
      <c r="U35" s="51" t="n">
        <f aca="false">IF(OR($B35="Sub",$B35="Stream"),$AO35+SUMIFS($AO$20:$AO$55,$G$20:$G$55,$E35),0)</f>
        <v>0</v>
      </c>
      <c r="V35" s="51" t="n">
        <f aca="false">IF(OR($B35="Routine",$B35="Project"),$AO35+SUMIFS($U$20:$U$55,$G$20:$G$55,$E35),0)</f>
        <v>0</v>
      </c>
      <c r="W35" s="51" t="n">
        <f aca="false">IF($B35="Venture",$AO35+SUMIFS($V$20:$V$55,$G$20:$G$55,$E35),0)</f>
        <v>0</v>
      </c>
      <c r="X35" s="51" t="n">
        <f aca="false">IF(OR($B35="Drill",$B35="Action"),$AP35,0)</f>
        <v>0</v>
      </c>
      <c r="Y35" s="51" t="n">
        <f aca="false">IF(OR($B35="Sub",$B35="Stream"),$AP35+SUMIFS($AP$20:$AP$55,$G$20:$G$55,$E35),0)</f>
        <v>0</v>
      </c>
      <c r="Z35" s="51" t="n">
        <f aca="false">IF(OR($B35="Routine",$B35="Project"),$AP35+SUMIFS($Y$20:$Y$55,$G$20:$G$55,$E35),0)</f>
        <v>0</v>
      </c>
      <c r="AA35" s="51" t="n">
        <f aca="false">IF($B35="Venture",$AP35+SUMIFS($Z$20:$Z$55,$G$20:$G$55,$E35),0)</f>
        <v>0</v>
      </c>
      <c r="AB35" s="51" t="str">
        <f aca="false">IF(OR(AH35="Venture", AH35="Run Goal", AH35="Chg Goal"),AI35,AH35&amp;AI35&amp;AR35)</f>
        <v/>
      </c>
      <c r="AC35" s="53" t="str">
        <f aca="false">"  -  "&amp;IF(C35=90000000,9&amp;"Z",D35&amp;AE35&amp;IF(OR(B35="Run Goal",B35="Chg Goal", B35="Venture"),"",IF(OR(B35="Routine",B35="Project"),F35&amp;E35,  IF(OR(B35="Sub",B35="Stream"),H35&amp;G35&amp;F35&amp;E35,IF(OR(B35="Drill",B35="Action"),J35&amp;I35&amp;H35&amp;G35&amp;F35&amp;E35,     "") )    )))</f>
        <v>  -  9Z</v>
      </c>
      <c r="AD35" s="51" t="str">
        <f aca="false">IF(AND(AM35="",AN35=""),"Y","N")</f>
        <v>Y</v>
      </c>
      <c r="AE35" s="103" t="str">
        <f aca="false">IF(OR(AF35="Y",AF35="Y"),AF35,IF(DM35="none","N",IF(DM35&gt;($A$17-WEEKDAY($A$17,2)-(7*$AE$18)),"Y","N")))</f>
        <v>N</v>
      </c>
      <c r="AF35" s="104"/>
      <c r="AG35" s="105"/>
      <c r="AH35" s="79"/>
      <c r="AI35" s="56"/>
      <c r="AJ35" s="56"/>
      <c r="AK35" s="106"/>
      <c r="AL35" s="106"/>
      <c r="AM35" s="106"/>
      <c r="AN35" s="106"/>
      <c r="AO35" s="107"/>
      <c r="AP35" s="107"/>
      <c r="AQ35" s="79"/>
      <c r="AR35" s="79"/>
      <c r="AS35" s="79"/>
      <c r="AT35" s="79"/>
      <c r="AU35" s="79"/>
      <c r="AV35" s="79"/>
      <c r="AW35" s="79"/>
      <c r="AX35" s="79"/>
      <c r="AY35" s="79"/>
      <c r="AZ35" s="79"/>
      <c r="BA35" s="63"/>
      <c r="BB35" s="108"/>
      <c r="BC35" s="63"/>
      <c r="BD35" s="51" t="n">
        <f aca="false">SUM(N35:Q35)</f>
        <v>0</v>
      </c>
      <c r="BE35" s="59" t="n">
        <f aca="false">IF(AI35="",1,IF(S35&lt;&gt;0,(O35*0.5+R35)/S35,1))</f>
        <v>1</v>
      </c>
      <c r="BF35" s="81" t="str">
        <f aca="false">IF(AH35="","",IF(AH35="Venture",W35,IF(OR(AH35="Chg Goal",AH35="RUn Goal"),V35,IF(OR(AH35="ROutine",AH35="Project"),V35,IF(OR(AH35="Sub",AH35="Stream"),U35,IF(OR(AH35="Drill",AH35="Action"),T35,0))))))</f>
        <v/>
      </c>
      <c r="BG35" s="81" t="str">
        <f aca="false">IF(AH35="","",IF(AH35="Venture",AA35,IF(OR(AH35="Chg Goal",AH35="RUn Goal"),Z35,IF(OR(AH35="ROutine",AH35="Project"),Z35,IF(OR(AH35="Sub",AH35="Stream"),Y35,IF(OR(AH35="Drill",AH35="Action"),X35,0))))))</f>
        <v/>
      </c>
      <c r="BH35" s="109" t="str">
        <f aca="false">IF(AI35="","",IF(OR(BF35=0, BF35=""),0,BG35/BF35))</f>
        <v/>
      </c>
      <c r="BI35" s="110" t="str">
        <f aca="false">IF(    OR(   AND($C35=10000000,    BI$19&gt;=$A$17,      BI$19 &lt;($A$17+$DH$17)   ),   AND($C35&lt;&gt;10000000,  BI$19&gt;=$DW35,    BI$19&lt;=($DX35+$DH$17)  ))   ,$DV35,  "")</f>
        <v/>
      </c>
      <c r="BJ35" s="111" t="str">
        <f aca="false">IF(    OR(   AND($C35=10000000,    $A$17&lt;=BJ$19,      ($A$17+$DH$17)&gt;BJ$19    ),   AND($C35&lt;&gt;10000000,  BJ$19&gt;=$DW35,    BJ$19&lt;=($DX35+$DH$17)  ))   ,$DV35,  "")</f>
        <v/>
      </c>
      <c r="BK35" s="111" t="str">
        <f aca="false">IF(    OR(   AND($C35=10000000,    $A$17&lt;=BK$19,      ($A$17+$DH$17)&gt;BK$19    ),   AND($C35&lt;&gt;10000000,  BK$19&gt;=$DW35,    BK$19&lt;=($DX35+$DH$17)  ))   ,$DV35,  "")</f>
        <v/>
      </c>
      <c r="BL35" s="111" t="str">
        <f aca="false">IF(    OR(   AND($C35=10000000,    $A$17&lt;=BL$19,      ($A$17+$DH$17)&gt;BL$19    ),   AND($C35&lt;&gt;10000000,  BL$19&gt;=$DW35,    BL$19&lt;=($DX35+$DH$17)  ))   ,$DV35,  "")</f>
        <v/>
      </c>
      <c r="BM35" s="111" t="str">
        <f aca="false">IF(    OR(   AND($C35=10000000,    $A$17&lt;=BM$19,      ($A$17+$DH$17)&gt;BM$19    ),   AND($C35&lt;&gt;10000000,  BM$19&gt;=$DW35,    BM$19&lt;=($DX35+$DH$17)  ))   ,$DV35,  "")</f>
        <v/>
      </c>
      <c r="BN35" s="111" t="str">
        <f aca="false">IF(    OR(   AND($C35=10000000,    $A$17&lt;=BN$19,      ($A$17+$DH$17)&gt;BN$19    ),   AND($C35&lt;&gt;10000000,  BN$19&gt;=$DW35,    BN$19&lt;=($DX35+$DH$17)  ))   ,$DV35,  "")</f>
        <v/>
      </c>
      <c r="BO35" s="111" t="str">
        <f aca="false">IF(    OR(   AND($C35=10000000,    $A$17&lt;=BO$19,      ($A$17+$DH$17)&gt;BO$19    ),   AND($C35&lt;&gt;10000000,  BO$19&gt;=$DW35,    BO$19&lt;=($DX35+$DH$17)  ))   ,$DV35,  "")</f>
        <v/>
      </c>
      <c r="BP35" s="111" t="str">
        <f aca="false">IF(    OR(   AND($C35=10000000,    $A$17&lt;=BP$19,      ($A$17+$DH$17)&gt;BP$19    ),   AND($C35&lt;&gt;10000000,  BP$19&gt;=$DW35,    BP$19&lt;=($DX35+$DH$17)  ))   ,$DV35,  "")</f>
        <v/>
      </c>
      <c r="BQ35" s="111" t="str">
        <f aca="false">IF(    OR(   AND($C35=10000000,    $A$17&lt;=BQ$19,      ($A$17+$DH$17)&gt;BQ$19    ),   AND($C35&lt;&gt;10000000,  BQ$19&gt;=$DW35,    BQ$19&lt;=($DX35+$DH$17)  ))   ,$DV35,  "")</f>
        <v/>
      </c>
      <c r="BR35" s="111" t="str">
        <f aca="false">IF(    OR(   AND($C35=10000000,    $A$17&lt;=BR$19,      ($A$17+$DH$17)&gt;BR$19    ),   AND($C35&lt;&gt;10000000,  BR$19&gt;=$DW35,    BR$19&lt;=($DX35+$DH$17)  ))   ,$DV35,  "")</f>
        <v/>
      </c>
      <c r="BS35" s="111" t="str">
        <f aca="false">IF(    OR(   AND($C35=10000000,    $A$17&lt;=BS$19,      ($A$17+$DH$17)&gt;BS$19    ),   AND($C35&lt;&gt;10000000,  BS$19&gt;=$DW35,    BS$19&lt;=($DX35+$DH$17)  ))   ,$DV35,  "")</f>
        <v/>
      </c>
      <c r="BT35" s="111" t="str">
        <f aca="false">IF(    OR(   AND($C35=10000000,    $A$17&lt;=BT$19,      ($A$17+$DH$17)&gt;BT$19    ),   AND($C35&lt;&gt;10000000,  BT$19&gt;=$DW35,    BT$19&lt;=($DX35+$DH$17)  ))   ,$DV35,  "")</f>
        <v/>
      </c>
      <c r="BU35" s="111" t="str">
        <f aca="false">IF(    OR(   AND($C35=10000000,    $A$17&lt;=BU$19,      ($A$17+$DH$17)&gt;BU$19    ),   AND($C35&lt;&gt;10000000,  BU$19&gt;=$DW35,    BU$19&lt;=($DX35+$DH$17)  ))   ,$DV35,  "")</f>
        <v/>
      </c>
      <c r="BV35" s="111" t="str">
        <f aca="false">IF(    OR(   AND($C35=10000000,    $A$17&lt;=BV$19,      ($A$17+$DH$17)&gt;BV$19    ),   AND($C35&lt;&gt;10000000,  BV$19&gt;=$DW35,    BV$19&lt;=($DX35+$DH$17)  ))   ,$DV35,  "")</f>
        <v/>
      </c>
      <c r="BW35" s="111" t="str">
        <f aca="false">IF(    OR(   AND($C35=10000000,    $A$17&lt;=BW$19,      ($A$17+$DH$17)&gt;BW$19    ),   AND($C35&lt;&gt;10000000,  BW$19&gt;=$DW35,    BW$19&lt;=($DX35+$DH$17)  ))   ,$DV35,  "")</f>
        <v/>
      </c>
      <c r="BX35" s="111" t="str">
        <f aca="false">IF(    OR(   AND($C35=10000000,    $A$17&lt;=BX$19,      ($A$17+$DH$17)&gt;BX$19    ),   AND($C35&lt;&gt;10000000,  BX$19&gt;=$DW35,    BX$19&lt;=($DX35+$DH$17)  ))   ,$DV35,  "")</f>
        <v/>
      </c>
      <c r="BY35" s="111" t="str">
        <f aca="false">IF(    OR(   AND($C35=10000000,    $A$17&lt;=BY$19,      ($A$17+$DH$17)&gt;BY$19    ),   AND($C35&lt;&gt;10000000,  BY$19&gt;=$DW35,    BY$19&lt;=($DX35+$DH$17)  ))   ,$DV35,  "")</f>
        <v/>
      </c>
      <c r="BZ35" s="111" t="str">
        <f aca="false">IF(    OR(   AND($C35=10000000,    $A$17&lt;=BZ$19,      ($A$17+$DH$17)&gt;BZ$19    ),   AND($C35&lt;&gt;10000000,  BZ$19&gt;=$DW35,    BZ$19&lt;=($DX35+$DH$17)  ))   ,$DV35,  "")</f>
        <v/>
      </c>
      <c r="CA35" s="111" t="str">
        <f aca="false">IF(    OR(   AND($C35=10000000,    $A$17&lt;=CA$19,      ($A$17+$DH$17)&gt;CA$19    ),   AND($C35&lt;&gt;10000000,  CA$19&gt;=$DW35,    CA$19&lt;=($DX35+$DH$17)  ))   ,$DV35,  "")</f>
        <v/>
      </c>
      <c r="CB35" s="111" t="str">
        <f aca="false">IF(    OR(   AND($C35=10000000,    $A$17&lt;=CB$19,      ($A$17+$DH$17)&gt;CB$19    ),   AND($C35&lt;&gt;10000000,  CB$19&gt;=$DW35,    CB$19&lt;=($DX35+$DH$17)  ))   ,$DV35,  "")</f>
        <v/>
      </c>
      <c r="CC35" s="111" t="str">
        <f aca="false">IF(    OR(   AND($C35=10000000,    $A$17&lt;=CC$19,      ($A$17+$DH$17)&gt;CC$19    ),   AND($C35&lt;&gt;10000000,  CC$19&gt;=$DW35,    CC$19&lt;=($DX35+$DH$17)  ))   ,$DV35,  "")</f>
        <v/>
      </c>
      <c r="CD35" s="111" t="str">
        <f aca="false">IF(    OR(   AND($C35=10000000,    $A$17&lt;=CD$19,      ($A$17+$DH$17)&gt;CD$19    ),   AND($C35&lt;&gt;10000000,  CD$19&gt;=$DW35,    CD$19&lt;=($DX35+$DH$17)  ))   ,$DV35,  "")</f>
        <v/>
      </c>
      <c r="CE35" s="111" t="str">
        <f aca="false">IF(    OR(   AND($C35=10000000,    $A$17&lt;=CE$19,      ($A$17+$DH$17)&gt;CE$19    ),   AND($C35&lt;&gt;10000000,  CE$19&gt;=$DW35,    CE$19&lt;=($DX35+$DH$17)  ))   ,$DV35,  "")</f>
        <v/>
      </c>
      <c r="CF35" s="111" t="str">
        <f aca="false">IF(    OR(   AND($C35=10000000,    $A$17&lt;=CF$19,      ($A$17+$DH$17)&gt;CF$19    ),   AND($C35&lt;&gt;10000000,  CF$19&gt;=$DW35,    CF$19&lt;=($DX35+$DH$17)  ))   ,$DV35,  "")</f>
        <v/>
      </c>
      <c r="CG35" s="111" t="str">
        <f aca="false">IF(    OR(   AND($C35=10000000,    $A$17&lt;=CG$19,      ($A$17+$DH$17)&gt;CG$19    ),   AND($C35&lt;&gt;10000000,  CG$19&gt;=$DW35,    CG$19&lt;=($DX35+$DH$17)  ))   ,$DV35,  "")</f>
        <v/>
      </c>
      <c r="CH35" s="111" t="str">
        <f aca="false">IF(    OR(   AND($C35=10000000,    $A$17&lt;=CH$19,      ($A$17+$DH$17)&gt;CH$19    ),   AND($C35&lt;&gt;10000000,  CH$19&gt;=$DW35,    CH$19&lt;=($DX35+$DH$17)  ))   ,$DV35,  "")</f>
        <v/>
      </c>
      <c r="CI35" s="111" t="str">
        <f aca="false">IF(    OR(   AND($C35=10000000,    $A$17&lt;=CI$19,      ($A$17+$DH$17)&gt;CI$19    ),   AND($C35&lt;&gt;10000000,  CI$19&gt;=$DW35,    CI$19&lt;=($DX35+$DH$17)  ))   ,$DV35,  "")</f>
        <v/>
      </c>
      <c r="CJ35" s="111" t="str">
        <f aca="false">IF(    OR(   AND($C35=10000000,    $A$17&lt;=CJ$19,      ($A$17+$DH$17)&gt;CJ$19    ),   AND($C35&lt;&gt;10000000,  CJ$19&gt;=$DW35,    CJ$19&lt;=($DX35+$DH$17)  ))   ,$DV35,  "")</f>
        <v/>
      </c>
      <c r="CK35" s="111" t="str">
        <f aca="false">IF(    OR(   AND($C35=10000000,    $A$17&lt;=CK$19,      ($A$17+$DH$17)&gt;CK$19    ),   AND($C35&lt;&gt;10000000,  CK$19&gt;=$DW35,    CK$19&lt;=($DX35+$DH$17)  ))   ,$DV35,  "")</f>
        <v/>
      </c>
      <c r="CL35" s="111" t="str">
        <f aca="false">IF(    OR(   AND($C35=10000000,    $A$17&lt;=CL$19,      ($A$17+$DH$17)&gt;CL$19    ),   AND($C35&lt;&gt;10000000,  CL$19&gt;=$DW35,    CL$19&lt;=($DX35+$DH$17)  ))   ,$DV35,  "")</f>
        <v/>
      </c>
      <c r="CM35" s="111" t="str">
        <f aca="false">IF(    OR(   AND($C35=10000000,    $A$17&lt;=CM$19,      ($A$17+$DH$17)&gt;CM$19    ),   AND($C35&lt;&gt;10000000,  CM$19&gt;=$DW35,    CM$19&lt;=($DX35+$DH$17)  ))   ,$DV35,  "")</f>
        <v/>
      </c>
      <c r="CN35" s="111" t="str">
        <f aca="false">IF(    OR(   AND($C35=10000000,    $A$17&lt;=CN$19,      ($A$17+$DH$17)&gt;CN$19    ),   AND($C35&lt;&gt;10000000,  CN$19&gt;=$DW35,    CN$19&lt;=($DX35+$DH$17)  ))   ,$DV35,  "")</f>
        <v/>
      </c>
      <c r="CO35" s="111" t="str">
        <f aca="false">IF(    OR(   AND($C35=10000000,    $A$17&lt;=CO$19,      ($A$17+$DH$17)&gt;CO$19    ),   AND($C35&lt;&gt;10000000,  CO$19&gt;=$DW35,    CO$19&lt;=($DX35+$DH$17)  ))   ,$DV35,  "")</f>
        <v/>
      </c>
      <c r="CP35" s="111" t="str">
        <f aca="false">IF(    OR(   AND($C35=10000000,    $A$17&lt;=CP$19,      ($A$17+$DH$17)&gt;CP$19    ),   AND($C35&lt;&gt;10000000,  CP$19&gt;=$DW35,    CP$19&lt;=($DX35+$DH$17)  ))   ,$DV35,  "")</f>
        <v/>
      </c>
      <c r="CQ35" s="111" t="str">
        <f aca="false">IF(    OR(   AND($C35=10000000,    $A$17&lt;=CQ$19,      ($A$17+$DH$17)&gt;CQ$19    ),   AND($C35&lt;&gt;10000000,  CQ$19&gt;=$DW35,    CQ$19&lt;=($DX35+$DH$17)  ))   ,$DV35,  "")</f>
        <v/>
      </c>
      <c r="CR35" s="111" t="str">
        <f aca="false">IF(    OR(   AND($C35=10000000,    $A$17&lt;=CR$19,      ($A$17+$DH$17)&gt;CR$19    ),   AND($C35&lt;&gt;10000000,  CR$19&gt;=$DW35,    CR$19&lt;=($DX35+$DH$17)  ))   ,$DV35,  "")</f>
        <v/>
      </c>
      <c r="CS35" s="111" t="str">
        <f aca="false">IF(    OR(   AND($C35=10000000,    $A$17&lt;=CS$19,      ($A$17+$DH$17)&gt;CS$19    ),   AND($C35&lt;&gt;10000000,  CS$19&gt;=$DW35,    CS$19&lt;=($DX35+$DH$17)  ))   ,$DV35,  "")</f>
        <v/>
      </c>
      <c r="CT35" s="111" t="str">
        <f aca="false">IF(    OR(   AND($C35=10000000,    $A$17&lt;=CT$19,      ($A$17+$DH$17)&gt;CT$19    ),   AND($C35&lt;&gt;10000000,  CT$19&gt;=$DW35,    CT$19&lt;=($DX35+$DH$17)  ))   ,$DV35,  "")</f>
        <v/>
      </c>
      <c r="CU35" s="111" t="str">
        <f aca="false">IF(    OR(   AND($C35=10000000,    $A$17&lt;=CU$19,      ($A$17+$DH$17)&gt;CU$19    ),   AND($C35&lt;&gt;10000000,  CU$19&gt;=$DW35,    CU$19&lt;=($DX35+$DH$17)  ))   ,$DV35,  "")</f>
        <v/>
      </c>
      <c r="CV35" s="111" t="str">
        <f aca="false">IF(    OR(   AND($C35=10000000,    $A$17&lt;=CV$19,      ($A$17+$DH$17)&gt;CV$19    ),   AND($C35&lt;&gt;10000000,  CV$19&gt;=$DW35,    CV$19&lt;=($DX35+$DH$17)  ))   ,$DV35,  "")</f>
        <v/>
      </c>
      <c r="CW35" s="111" t="str">
        <f aca="false">IF(    OR(   AND($C35=10000000,    $A$17&lt;=CW$19,      ($A$17+$DH$17)&gt;CW$19    ),   AND($C35&lt;&gt;10000000,  CW$19&gt;=$DW35,    CW$19&lt;=($DX35+$DH$17)  ))   ,$DV35,  "")</f>
        <v/>
      </c>
      <c r="CX35" s="111" t="str">
        <f aca="false">IF(    OR(   AND($C35=10000000,    $A$17&lt;=CX$19,      ($A$17+$DH$17)&gt;CX$19    ),   AND($C35&lt;&gt;10000000,  CX$19&gt;=$DW35,    CX$19&lt;=($DX35+$DH$17)  ))   ,$DV35,  "")</f>
        <v/>
      </c>
      <c r="CY35" s="111" t="str">
        <f aca="false">IF(    OR(   AND($C35=10000000,    $A$17&lt;=CY$19,      ($A$17+$DH$17)&gt;CY$19    ),   AND($C35&lt;&gt;10000000,  CY$19&gt;=$DW35,    CY$19&lt;=($DX35+$DH$17)  ))   ,$DV35,  "")</f>
        <v/>
      </c>
      <c r="CZ35" s="111" t="str">
        <f aca="false">IF(    OR(   AND($C35=10000000,    $A$17&lt;=CZ$19,      ($A$17+$DH$17)&gt;CZ$19    ),   AND($C35&lt;&gt;10000000,  CZ$19&gt;=$DW35,    CZ$19&lt;=($DX35+$DH$17)  ))   ,$DV35,  "")</f>
        <v/>
      </c>
      <c r="DA35" s="111" t="str">
        <f aca="false">IF(    OR(   AND($C35=10000000,    $A$17&lt;=DA$19,      ($A$17+$DH$17)&gt;DA$19    ),   AND($C35&lt;&gt;10000000,  DA$19&gt;=$DW35,    DA$19&lt;=($DX35+$DH$17)  ))   ,$DV35,  "")</f>
        <v/>
      </c>
      <c r="DB35" s="111" t="str">
        <f aca="false">IF(    OR(   AND($C35=10000000,    $A$17&lt;=DB$19,      ($A$17+$DH$17)&gt;DB$19    ),   AND($C35&lt;&gt;10000000,  DB$19&gt;=$DW35,    DB$19&lt;=($DX35+$DH$17)  ))   ,$DV35,  "")</f>
        <v/>
      </c>
      <c r="DC35" s="111" t="str">
        <f aca="false">IF(    OR(   AND($C35=10000000,    $A$17&lt;=DC$19,      ($A$17+$DH$17)&gt;DC$19    ),   AND($C35&lt;&gt;10000000,  DC$19&gt;=$DW35,    DC$19&lt;=($DX35+$DH$17)  ))   ,$DV35,  "")</f>
        <v/>
      </c>
      <c r="DD35" s="111" t="str">
        <f aca="false">IF(    OR(   AND($C35=10000000,    $A$17&lt;=DD$19,      ($A$17+$DH$17)&gt;DD$19    ),   AND($C35&lt;&gt;10000000,  DD$19&gt;=$DW35,    DD$19&lt;=($DX35+$DH$17)  ))   ,$DV35,  "")</f>
        <v/>
      </c>
      <c r="DE35" s="111" t="str">
        <f aca="false">IF(    OR(   AND($C35=10000000,    $A$17&lt;=DE$19,      ($A$17+$DH$17)&gt;DE$19    ),   AND($C35&lt;&gt;10000000,  DE$19&gt;=$DW35,    DE$19&lt;=($DX35+$DH$17)  ))   ,$DV35,  "")</f>
        <v/>
      </c>
      <c r="DF35" s="111" t="str">
        <f aca="false">IF(    OR(   AND($C35=10000000,    $A$17&lt;=DF$19,      ($A$17+$DH$17)&gt;DF$19    ),   AND($C35&lt;&gt;10000000,  DF$19&gt;=$DW35,    DF$19&lt;=($DX35+$DH$17)  ))   ,$DV35,  "")</f>
        <v/>
      </c>
      <c r="DG35" s="111" t="str">
        <f aca="false">IF(    OR(   AND($C35=10000000,    $A$17&lt;=DG$19,      ($A$17+$DH$17)&gt;DG$19    ),   AND($C35&lt;&gt;10000000,  DG$19&gt;=$DW35,    DG$19&lt;=($DX35+$DH$17)  ))   ,$DV35,  "")</f>
        <v/>
      </c>
      <c r="DH35" s="111" t="str">
        <f aca="false">IF(    OR(   AND($C35=10000000,    $A$17&lt;=DH$19,      ($A$17+$DH$17)&gt;DH$19    ),   AND($C35&lt;&gt;10000000,  DH$19&gt;=$DW35,    DH$19&lt;=($DX35+$DH$17)  ))   ,$DV35,  "")</f>
        <v/>
      </c>
      <c r="DI35" s="112" t="str">
        <f aca="false">IF(BB35="","",IF(ISERROR(FIND(CHAR(10),BB35,1)),BB35,LEFT(BB35,FIND(CHAR(10),BB35,1))))</f>
        <v/>
      </c>
      <c r="DJ35" s="53" t="str">
        <f aca="false">IF(BB35="","",IFERROR(RIGHT(BB35,LEN(BB35)-FIND("@@@",SUBSTITUTE(BB35,CHAR(10),"@@@",LEN(BB35)-LEN(SUBSTITUTE(BB35,CHAR(10),""))),1)),BB35))</f>
        <v/>
      </c>
      <c r="DK35" s="53" t="str">
        <f aca="false">IF(BC35="","",IFERROR(RIGHT(BC35,LEN(BC35)-FIND("@@@",SUBSTITUTE(BC35,CHAR(10),"@@@",LEN(BC35)-LEN(SUBSTITUTE(BC35,CHAR(10),""))),1)),BC35))</f>
        <v/>
      </c>
      <c r="DL35" s="113" t="str">
        <f aca="false">IFERROR(DATE(("20"&amp;MID(DI35,7,2))*1,MID(DI35,4,2)*1,MID(DI35,1,2)*1),"none")</f>
        <v>none</v>
      </c>
      <c r="DM35" s="113" t="str">
        <f aca="false">IFERROR(DATE(("20"&amp;MID(DJ35,7,2))*1,MID(DJ35,4,2)*1,MID(DJ35,1,2)*1),"none")</f>
        <v>none</v>
      </c>
      <c r="DN35" s="113" t="n">
        <f aca="false">IF(DL35&lt;&gt;"none",DL35,DATE(1900,1,1))</f>
        <v>2</v>
      </c>
      <c r="DO35" s="113" t="n">
        <f aca="false">IF(DM35&lt;&gt;"none",DM35,DN35)</f>
        <v>2</v>
      </c>
      <c r="DP35" s="114" t="n">
        <f aca="false">_xlfn.DAYS($A$17,DN35)</f>
        <v>45332</v>
      </c>
      <c r="DQ35" s="114" t="n">
        <f aca="false">_xlfn.DAYS($A$17, DO35)</f>
        <v>45332</v>
      </c>
      <c r="DR35" s="51" t="n">
        <f aca="false">IF(DO35&lt;&gt;"",INT(DQ35/7),0)</f>
        <v>6476</v>
      </c>
      <c r="DS35" s="114" t="n">
        <f aca="false">IF(M35="Overdue",_xlfn.DAYS($A$17,AL35),0)</f>
        <v>0</v>
      </c>
      <c r="DT35" s="114" t="n">
        <f aca="false">IF(AH35="Project",_xlfn.DAYS(AL35,$A$17),0)</f>
        <v>0</v>
      </c>
      <c r="DU35" s="51" t="str">
        <f aca="false">IFERROR(INDEX(Static!$D$5:$E$11,MATCH(AH35,Static!$D$5:$D$11,0),2),"")</f>
        <v/>
      </c>
      <c r="DV35" s="51" t="str">
        <f aca="false">IF(C35=10000000,"Red",IF(OR(C35=11000000,C35=12000000),"Black",IF(C35=11100000,"Dark",IF(AND(C35=12100000,M35="Completed"),"Green",IF(AND(C35=12100000,M35="Overdue"),"Red",IF(C35=12100000,"Dark",IF(AND(C35=12110000,M35="Overdue"),"LightRed",IF(AND(C35=12110000,M35="Completed"),"LightGreen",IF(OR(C35=11110000,C35=12110000),"Light",IF(AND(C35=12111000,M35="Overdue"),"SoftRed",IF(AND(C35=12111000,M35="Completed"),"SoftGreen",IF(OR(C35=11111000,C35=12111000),"Grey",""))))))))))))</f>
        <v/>
      </c>
      <c r="DW35" s="49" t="n">
        <f aca="false">IF(AK35&lt;&gt;"",AK35,$BI$19)</f>
        <v>44927</v>
      </c>
      <c r="DX35" s="49" t="n">
        <f aca="false">IF(AL35&lt;&gt;"",AL35,$DH$19)</f>
        <v>45657</v>
      </c>
      <c r="DY35" s="79" t="s">
        <v>450</v>
      </c>
    </row>
    <row r="36" customFormat="false" ht="14.15" hidden="false" customHeight="true" outlineLevel="0" collapsed="false">
      <c r="A36" s="63"/>
      <c r="B36" s="53" t="n">
        <f aca="false">AH36</f>
        <v>0</v>
      </c>
      <c r="C36" s="51" t="n">
        <f aca="false">IFERROR(INDEX(Static!$D$5:$F$11,MATCH(AH36,Static!$D$5:$D$11,0),3),90000000)</f>
        <v>90000000</v>
      </c>
      <c r="D36" s="51" t="str">
        <f aca="false">MID(C36,2,1)</f>
        <v>0</v>
      </c>
      <c r="E36" s="53" t="str">
        <f aca="false">AB36</f>
        <v/>
      </c>
      <c r="F36" s="51" t="str">
        <f aca="false">IF(B36="Venture",0,IF(OR(B36="Project",B36="Stream",B36="Action"),AK36,""))</f>
        <v/>
      </c>
      <c r="G36" s="51" t="n">
        <f aca="false">AS36</f>
        <v>0</v>
      </c>
      <c r="H36" s="51" t="str">
        <f aca="false">IF(B36="Venture",0,IFERROR(INDEX($E$20:$F$55,MATCH(G36,$E$20:$E$55,0),2),""))</f>
        <v/>
      </c>
      <c r="I36" s="51" t="str">
        <f aca="false">IF(B36="Venture",0,IFERROR(INDEX($E$20:$G$55,MATCH(G36,$E$20:$E$55,0),3),""))</f>
        <v/>
      </c>
      <c r="J36" s="51" t="str">
        <f aca="false">IF(B36="Venture",0,IFERROR(INDEX($E$20:$H$55,MATCH(G36,$E$20:$E$55,0),4),""))</f>
        <v/>
      </c>
      <c r="K36" s="51" t="n">
        <f aca="false">IF(B36="Venture",0,IFERROR(INDEX($E$20:$G$55,MATCH(I36,$E$20:$E$55,0),3),""))</f>
        <v>0</v>
      </c>
      <c r="L36" s="51" t="str">
        <f aca="false">IF(M36="Completed","Completed","Ongoing")</f>
        <v>Ongoing</v>
      </c>
      <c r="M36" s="51" t="n">
        <f aca="false">IF(OR(AH36="Venture",AH36="Routine",AH36="Run Goal", AH36="Chg Goal", AH36=""),AH36,IF(AN36&lt;&gt;"","Completed",IF(AM36&lt;&gt;"","Pending",IF(AND(AL36&lt;&gt;"",$A$17&gt;AL36),"Overdue",IF($A$17&gt;AK36,"Started","Open")))))</f>
        <v>0</v>
      </c>
      <c r="N36" s="50" t="n">
        <f aca="false">((LEN($BC36)-LEN(SUBSTITUTE($BC36,CHAR(10)&amp;". ","")))/3)+IF(LEFT(TRIM($BC36),2)=". ",1,0)</f>
        <v>0</v>
      </c>
      <c r="O36" s="50" t="n">
        <f aca="false">((LEN($BC36)-LEN(SUBSTITUTE($BC36,CHAR(10)&amp;"/ ","")))/3)+IF(LEFT(TRIM($BC36),2)="/ ",1,0)</f>
        <v>0</v>
      </c>
      <c r="P36" s="50" t="n">
        <f aca="false">((LEN($BC36)-LEN(SUBSTITUTE($BC36,CHAR(10)&amp;"~ ","")))/3)+IF(LEFT(TRIM($BC36),2)="~ ",1,0)</f>
        <v>0</v>
      </c>
      <c r="Q36" s="50" t="n">
        <f aca="false">((LEN($BC36)-LEN(SUBSTITUTE($BC36,CHAR(10)&amp;"! ","")))/3)+IF(LEFT(TRIM($BC36),2)="! ",1,0)</f>
        <v>0</v>
      </c>
      <c r="R36" s="50" t="n">
        <f aca="false">((LEN($BC36)-LEN(SUBSTITUTE($BC36,CHAR(10)&amp;"x ","")))/3)+IF(LEFT(TRIM($BC36),2)="x ",1,0)</f>
        <v>0</v>
      </c>
      <c r="S36" s="50" t="n">
        <f aca="false">SUM(N36:R36)</f>
        <v>0</v>
      </c>
      <c r="T36" s="51" t="n">
        <f aca="false">IF(OR($B36="Drill",$B36="Action"),$AO36,0)</f>
        <v>0</v>
      </c>
      <c r="U36" s="51" t="n">
        <f aca="false">IF(OR($B36="Sub",$B36="Stream"),$AO36+SUMIFS($AO$20:$AO$55,$G$20:$G$55,$E36),0)</f>
        <v>0</v>
      </c>
      <c r="V36" s="51" t="n">
        <f aca="false">IF(OR($B36="Routine",$B36="Project"),$AO36+SUMIFS($U$20:$U$55,$G$20:$G$55,$E36),0)</f>
        <v>0</v>
      </c>
      <c r="W36" s="51" t="n">
        <f aca="false">IF($B36="Venture",$AO36+SUMIFS($V$20:$V$55,$G$20:$G$55,$E36),0)</f>
        <v>0</v>
      </c>
      <c r="X36" s="51" t="n">
        <f aca="false">IF(OR($B36="Drill",$B36="Action"),$AP36,0)</f>
        <v>0</v>
      </c>
      <c r="Y36" s="51" t="n">
        <f aca="false">IF(OR($B36="Sub",$B36="Stream"),$AP36+SUMIFS($AP$20:$AP$55,$G$20:$G$55,$E36),0)</f>
        <v>0</v>
      </c>
      <c r="Z36" s="51" t="n">
        <f aca="false">IF(OR($B36="Routine",$B36="Project"),$AP36+SUMIFS($Y$20:$Y$55,$G$20:$G$55,$E36),0)</f>
        <v>0</v>
      </c>
      <c r="AA36" s="51" t="n">
        <f aca="false">IF($B36="Venture",$AP36+SUMIFS($Z$20:$Z$55,$G$20:$G$55,$E36),0)</f>
        <v>0</v>
      </c>
      <c r="AB36" s="51" t="str">
        <f aca="false">IF(OR(AH36="Venture", AH36="Run Goal", AH36="Chg Goal"),AI36,AH36&amp;AI36&amp;AR36)</f>
        <v/>
      </c>
      <c r="AC36" s="53" t="str">
        <f aca="false">"  -  "&amp;IF(C36=90000000,9&amp;"Z",D36&amp;AE36&amp;IF(OR(B36="Run Goal",B36="Chg Goal", B36="Venture"),"",IF(OR(B36="Routine",B36="Project"),F36&amp;E36,  IF(OR(B36="Sub",B36="Stream"),H36&amp;G36&amp;F36&amp;E36,IF(OR(B36="Drill",B36="Action"),J36&amp;I36&amp;H36&amp;G36&amp;F36&amp;E36,     "") )    )))</f>
        <v>  -  9Z</v>
      </c>
      <c r="AD36" s="51" t="str">
        <f aca="false">IF(AND(AM36="",AN36=""),"Y","N")</f>
        <v>Y</v>
      </c>
      <c r="AE36" s="103" t="str">
        <f aca="false">IF(OR(AF36="Y",AF36="Y"),AF36,IF(DM36="none","N",IF(DM36&gt;($A$17-WEEKDAY($A$17,2)-(7*$AE$18)),"Y","N")))</f>
        <v>N</v>
      </c>
      <c r="AF36" s="104"/>
      <c r="AG36" s="105"/>
      <c r="AH36" s="79"/>
      <c r="AI36" s="56"/>
      <c r="AJ36" s="56"/>
      <c r="AK36" s="106"/>
      <c r="AL36" s="106"/>
      <c r="AM36" s="106"/>
      <c r="AN36" s="106"/>
      <c r="AO36" s="107"/>
      <c r="AP36" s="107"/>
      <c r="AQ36" s="79"/>
      <c r="AR36" s="79"/>
      <c r="AS36" s="79"/>
      <c r="AT36" s="79"/>
      <c r="AU36" s="79"/>
      <c r="AV36" s="79"/>
      <c r="AW36" s="79"/>
      <c r="AX36" s="79"/>
      <c r="AY36" s="79"/>
      <c r="AZ36" s="79"/>
      <c r="BA36" s="63"/>
      <c r="BB36" s="108"/>
      <c r="BC36" s="63"/>
      <c r="BD36" s="51" t="n">
        <f aca="false">SUM(N36:Q36)</f>
        <v>0</v>
      </c>
      <c r="BE36" s="59" t="n">
        <f aca="false">IF(AI36="",1,IF(S36&lt;&gt;0,(O36*0.5+R36)/S36,1))</f>
        <v>1</v>
      </c>
      <c r="BF36" s="81" t="str">
        <f aca="false">IF(AH36="","",IF(AH36="Venture",W36,IF(OR(AH36="Chg Goal",AH36="RUn Goal"),V36,IF(OR(AH36="ROutine",AH36="Project"),V36,IF(OR(AH36="Sub",AH36="Stream"),U36,IF(OR(AH36="Drill",AH36="Action"),T36,0))))))</f>
        <v/>
      </c>
      <c r="BG36" s="81" t="str">
        <f aca="false">IF(AH36="","",IF(AH36="Venture",AA36,IF(OR(AH36="Chg Goal",AH36="RUn Goal"),Z36,IF(OR(AH36="ROutine",AH36="Project"),Z36,IF(OR(AH36="Sub",AH36="Stream"),Y36,IF(OR(AH36="Drill",AH36="Action"),X36,0))))))</f>
        <v/>
      </c>
      <c r="BH36" s="109" t="str">
        <f aca="false">IF(AI36="","",IF(OR(BF36=0, BF36=""),0,BG36/BF36))</f>
        <v/>
      </c>
      <c r="BI36" s="110" t="str">
        <f aca="false">IF(    OR(   AND($C36=10000000,    BI$19&gt;=$A$17,      BI$19 &lt;($A$17+$DH$17)   ),   AND($C36&lt;&gt;10000000,  BI$19&gt;=$DW36,    BI$19&lt;=($DX36+$DH$17)  ))   ,$DV36,  "")</f>
        <v/>
      </c>
      <c r="BJ36" s="111" t="str">
        <f aca="false">IF(    OR(   AND($C36=10000000,    $A$17&lt;=BJ$19,      ($A$17+$DH$17)&gt;BJ$19    ),   AND($C36&lt;&gt;10000000,  BJ$19&gt;=$DW36,    BJ$19&lt;=($DX36+$DH$17)  ))   ,$DV36,  "")</f>
        <v/>
      </c>
      <c r="BK36" s="111" t="str">
        <f aca="false">IF(    OR(   AND($C36=10000000,    $A$17&lt;=BK$19,      ($A$17+$DH$17)&gt;BK$19    ),   AND($C36&lt;&gt;10000000,  BK$19&gt;=$DW36,    BK$19&lt;=($DX36+$DH$17)  ))   ,$DV36,  "")</f>
        <v/>
      </c>
      <c r="BL36" s="111" t="str">
        <f aca="false">IF(    OR(   AND($C36=10000000,    $A$17&lt;=BL$19,      ($A$17+$DH$17)&gt;BL$19    ),   AND($C36&lt;&gt;10000000,  BL$19&gt;=$DW36,    BL$19&lt;=($DX36+$DH$17)  ))   ,$DV36,  "")</f>
        <v/>
      </c>
      <c r="BM36" s="111" t="str">
        <f aca="false">IF(    OR(   AND($C36=10000000,    $A$17&lt;=BM$19,      ($A$17+$DH$17)&gt;BM$19    ),   AND($C36&lt;&gt;10000000,  BM$19&gt;=$DW36,    BM$19&lt;=($DX36+$DH$17)  ))   ,$DV36,  "")</f>
        <v/>
      </c>
      <c r="BN36" s="111" t="str">
        <f aca="false">IF(    OR(   AND($C36=10000000,    $A$17&lt;=BN$19,      ($A$17+$DH$17)&gt;BN$19    ),   AND($C36&lt;&gt;10000000,  BN$19&gt;=$DW36,    BN$19&lt;=($DX36+$DH$17)  ))   ,$DV36,  "")</f>
        <v/>
      </c>
      <c r="BO36" s="111" t="str">
        <f aca="false">IF(    OR(   AND($C36=10000000,    $A$17&lt;=BO$19,      ($A$17+$DH$17)&gt;BO$19    ),   AND($C36&lt;&gt;10000000,  BO$19&gt;=$DW36,    BO$19&lt;=($DX36+$DH$17)  ))   ,$DV36,  "")</f>
        <v/>
      </c>
      <c r="BP36" s="111" t="str">
        <f aca="false">IF(    OR(   AND($C36=10000000,    $A$17&lt;=BP$19,      ($A$17+$DH$17)&gt;BP$19    ),   AND($C36&lt;&gt;10000000,  BP$19&gt;=$DW36,    BP$19&lt;=($DX36+$DH$17)  ))   ,$DV36,  "")</f>
        <v/>
      </c>
      <c r="BQ36" s="111" t="str">
        <f aca="false">IF(    OR(   AND($C36=10000000,    $A$17&lt;=BQ$19,      ($A$17+$DH$17)&gt;BQ$19    ),   AND($C36&lt;&gt;10000000,  BQ$19&gt;=$DW36,    BQ$19&lt;=($DX36+$DH$17)  ))   ,$DV36,  "")</f>
        <v/>
      </c>
      <c r="BR36" s="111" t="str">
        <f aca="false">IF(    OR(   AND($C36=10000000,    $A$17&lt;=BR$19,      ($A$17+$DH$17)&gt;BR$19    ),   AND($C36&lt;&gt;10000000,  BR$19&gt;=$DW36,    BR$19&lt;=($DX36+$DH$17)  ))   ,$DV36,  "")</f>
        <v/>
      </c>
      <c r="BS36" s="111" t="str">
        <f aca="false">IF(    OR(   AND($C36=10000000,    $A$17&lt;=BS$19,      ($A$17+$DH$17)&gt;BS$19    ),   AND($C36&lt;&gt;10000000,  BS$19&gt;=$DW36,    BS$19&lt;=($DX36+$DH$17)  ))   ,$DV36,  "")</f>
        <v/>
      </c>
      <c r="BT36" s="111" t="str">
        <f aca="false">IF(    OR(   AND($C36=10000000,    $A$17&lt;=BT$19,      ($A$17+$DH$17)&gt;BT$19    ),   AND($C36&lt;&gt;10000000,  BT$19&gt;=$DW36,    BT$19&lt;=($DX36+$DH$17)  ))   ,$DV36,  "")</f>
        <v/>
      </c>
      <c r="BU36" s="111" t="str">
        <f aca="false">IF(    OR(   AND($C36=10000000,    $A$17&lt;=BU$19,      ($A$17+$DH$17)&gt;BU$19    ),   AND($C36&lt;&gt;10000000,  BU$19&gt;=$DW36,    BU$19&lt;=($DX36+$DH$17)  ))   ,$DV36,  "")</f>
        <v/>
      </c>
      <c r="BV36" s="111" t="str">
        <f aca="false">IF(    OR(   AND($C36=10000000,    $A$17&lt;=BV$19,      ($A$17+$DH$17)&gt;BV$19    ),   AND($C36&lt;&gt;10000000,  BV$19&gt;=$DW36,    BV$19&lt;=($DX36+$DH$17)  ))   ,$DV36,  "")</f>
        <v/>
      </c>
      <c r="BW36" s="111" t="str">
        <f aca="false">IF(    OR(   AND($C36=10000000,    $A$17&lt;=BW$19,      ($A$17+$DH$17)&gt;BW$19    ),   AND($C36&lt;&gt;10000000,  BW$19&gt;=$DW36,    BW$19&lt;=($DX36+$DH$17)  ))   ,$DV36,  "")</f>
        <v/>
      </c>
      <c r="BX36" s="111" t="str">
        <f aca="false">IF(    OR(   AND($C36=10000000,    $A$17&lt;=BX$19,      ($A$17+$DH$17)&gt;BX$19    ),   AND($C36&lt;&gt;10000000,  BX$19&gt;=$DW36,    BX$19&lt;=($DX36+$DH$17)  ))   ,$DV36,  "")</f>
        <v/>
      </c>
      <c r="BY36" s="111" t="str">
        <f aca="false">IF(    OR(   AND($C36=10000000,    $A$17&lt;=BY$19,      ($A$17+$DH$17)&gt;BY$19    ),   AND($C36&lt;&gt;10000000,  BY$19&gt;=$DW36,    BY$19&lt;=($DX36+$DH$17)  ))   ,$DV36,  "")</f>
        <v/>
      </c>
      <c r="BZ36" s="111" t="str">
        <f aca="false">IF(    OR(   AND($C36=10000000,    $A$17&lt;=BZ$19,      ($A$17+$DH$17)&gt;BZ$19    ),   AND($C36&lt;&gt;10000000,  BZ$19&gt;=$DW36,    BZ$19&lt;=($DX36+$DH$17)  ))   ,$DV36,  "")</f>
        <v/>
      </c>
      <c r="CA36" s="111" t="str">
        <f aca="false">IF(    OR(   AND($C36=10000000,    $A$17&lt;=CA$19,      ($A$17+$DH$17)&gt;CA$19    ),   AND($C36&lt;&gt;10000000,  CA$19&gt;=$DW36,    CA$19&lt;=($DX36+$DH$17)  ))   ,$DV36,  "")</f>
        <v/>
      </c>
      <c r="CB36" s="111" t="str">
        <f aca="false">IF(    OR(   AND($C36=10000000,    $A$17&lt;=CB$19,      ($A$17+$DH$17)&gt;CB$19    ),   AND($C36&lt;&gt;10000000,  CB$19&gt;=$DW36,    CB$19&lt;=($DX36+$DH$17)  ))   ,$DV36,  "")</f>
        <v/>
      </c>
      <c r="CC36" s="111" t="str">
        <f aca="false">IF(    OR(   AND($C36=10000000,    $A$17&lt;=CC$19,      ($A$17+$DH$17)&gt;CC$19    ),   AND($C36&lt;&gt;10000000,  CC$19&gt;=$DW36,    CC$19&lt;=($DX36+$DH$17)  ))   ,$DV36,  "")</f>
        <v/>
      </c>
      <c r="CD36" s="111" t="str">
        <f aca="false">IF(    OR(   AND($C36=10000000,    $A$17&lt;=CD$19,      ($A$17+$DH$17)&gt;CD$19    ),   AND($C36&lt;&gt;10000000,  CD$19&gt;=$DW36,    CD$19&lt;=($DX36+$DH$17)  ))   ,$DV36,  "")</f>
        <v/>
      </c>
      <c r="CE36" s="111" t="str">
        <f aca="false">IF(    OR(   AND($C36=10000000,    $A$17&lt;=CE$19,      ($A$17+$DH$17)&gt;CE$19    ),   AND($C36&lt;&gt;10000000,  CE$19&gt;=$DW36,    CE$19&lt;=($DX36+$DH$17)  ))   ,$DV36,  "")</f>
        <v/>
      </c>
      <c r="CF36" s="111" t="str">
        <f aca="false">IF(    OR(   AND($C36=10000000,    $A$17&lt;=CF$19,      ($A$17+$DH$17)&gt;CF$19    ),   AND($C36&lt;&gt;10000000,  CF$19&gt;=$DW36,    CF$19&lt;=($DX36+$DH$17)  ))   ,$DV36,  "")</f>
        <v/>
      </c>
      <c r="CG36" s="111" t="str">
        <f aca="false">IF(    OR(   AND($C36=10000000,    $A$17&lt;=CG$19,      ($A$17+$DH$17)&gt;CG$19    ),   AND($C36&lt;&gt;10000000,  CG$19&gt;=$DW36,    CG$19&lt;=($DX36+$DH$17)  ))   ,$DV36,  "")</f>
        <v/>
      </c>
      <c r="CH36" s="111" t="str">
        <f aca="false">IF(    OR(   AND($C36=10000000,    $A$17&lt;=CH$19,      ($A$17+$DH$17)&gt;CH$19    ),   AND($C36&lt;&gt;10000000,  CH$19&gt;=$DW36,    CH$19&lt;=($DX36+$DH$17)  ))   ,$DV36,  "")</f>
        <v/>
      </c>
      <c r="CI36" s="111" t="str">
        <f aca="false">IF(    OR(   AND($C36=10000000,    $A$17&lt;=CI$19,      ($A$17+$DH$17)&gt;CI$19    ),   AND($C36&lt;&gt;10000000,  CI$19&gt;=$DW36,    CI$19&lt;=($DX36+$DH$17)  ))   ,$DV36,  "")</f>
        <v/>
      </c>
      <c r="CJ36" s="111" t="str">
        <f aca="false">IF(    OR(   AND($C36=10000000,    $A$17&lt;=CJ$19,      ($A$17+$DH$17)&gt;CJ$19    ),   AND($C36&lt;&gt;10000000,  CJ$19&gt;=$DW36,    CJ$19&lt;=($DX36+$DH$17)  ))   ,$DV36,  "")</f>
        <v/>
      </c>
      <c r="CK36" s="111" t="str">
        <f aca="false">IF(    OR(   AND($C36=10000000,    $A$17&lt;=CK$19,      ($A$17+$DH$17)&gt;CK$19    ),   AND($C36&lt;&gt;10000000,  CK$19&gt;=$DW36,    CK$19&lt;=($DX36+$DH$17)  ))   ,$DV36,  "")</f>
        <v/>
      </c>
      <c r="CL36" s="111" t="str">
        <f aca="false">IF(    OR(   AND($C36=10000000,    $A$17&lt;=CL$19,      ($A$17+$DH$17)&gt;CL$19    ),   AND($C36&lt;&gt;10000000,  CL$19&gt;=$DW36,    CL$19&lt;=($DX36+$DH$17)  ))   ,$DV36,  "")</f>
        <v/>
      </c>
      <c r="CM36" s="111" t="str">
        <f aca="false">IF(    OR(   AND($C36=10000000,    $A$17&lt;=CM$19,      ($A$17+$DH$17)&gt;CM$19    ),   AND($C36&lt;&gt;10000000,  CM$19&gt;=$DW36,    CM$19&lt;=($DX36+$DH$17)  ))   ,$DV36,  "")</f>
        <v/>
      </c>
      <c r="CN36" s="111" t="str">
        <f aca="false">IF(    OR(   AND($C36=10000000,    $A$17&lt;=CN$19,      ($A$17+$DH$17)&gt;CN$19    ),   AND($C36&lt;&gt;10000000,  CN$19&gt;=$DW36,    CN$19&lt;=($DX36+$DH$17)  ))   ,$DV36,  "")</f>
        <v/>
      </c>
      <c r="CO36" s="111" t="str">
        <f aca="false">IF(    OR(   AND($C36=10000000,    $A$17&lt;=CO$19,      ($A$17+$DH$17)&gt;CO$19    ),   AND($C36&lt;&gt;10000000,  CO$19&gt;=$DW36,    CO$19&lt;=($DX36+$DH$17)  ))   ,$DV36,  "")</f>
        <v/>
      </c>
      <c r="CP36" s="111" t="str">
        <f aca="false">IF(    OR(   AND($C36=10000000,    $A$17&lt;=CP$19,      ($A$17+$DH$17)&gt;CP$19    ),   AND($C36&lt;&gt;10000000,  CP$19&gt;=$DW36,    CP$19&lt;=($DX36+$DH$17)  ))   ,$DV36,  "")</f>
        <v/>
      </c>
      <c r="CQ36" s="111" t="str">
        <f aca="false">IF(    OR(   AND($C36=10000000,    $A$17&lt;=CQ$19,      ($A$17+$DH$17)&gt;CQ$19    ),   AND($C36&lt;&gt;10000000,  CQ$19&gt;=$DW36,    CQ$19&lt;=($DX36+$DH$17)  ))   ,$DV36,  "")</f>
        <v/>
      </c>
      <c r="CR36" s="111" t="str">
        <f aca="false">IF(    OR(   AND($C36=10000000,    $A$17&lt;=CR$19,      ($A$17+$DH$17)&gt;CR$19    ),   AND($C36&lt;&gt;10000000,  CR$19&gt;=$DW36,    CR$19&lt;=($DX36+$DH$17)  ))   ,$DV36,  "")</f>
        <v/>
      </c>
      <c r="CS36" s="111" t="str">
        <f aca="false">IF(    OR(   AND($C36=10000000,    $A$17&lt;=CS$19,      ($A$17+$DH$17)&gt;CS$19    ),   AND($C36&lt;&gt;10000000,  CS$19&gt;=$DW36,    CS$19&lt;=($DX36+$DH$17)  ))   ,$DV36,  "")</f>
        <v/>
      </c>
      <c r="CT36" s="111" t="str">
        <f aca="false">IF(    OR(   AND($C36=10000000,    $A$17&lt;=CT$19,      ($A$17+$DH$17)&gt;CT$19    ),   AND($C36&lt;&gt;10000000,  CT$19&gt;=$DW36,    CT$19&lt;=($DX36+$DH$17)  ))   ,$DV36,  "")</f>
        <v/>
      </c>
      <c r="CU36" s="111" t="str">
        <f aca="false">IF(    OR(   AND($C36=10000000,    $A$17&lt;=CU$19,      ($A$17+$DH$17)&gt;CU$19    ),   AND($C36&lt;&gt;10000000,  CU$19&gt;=$DW36,    CU$19&lt;=($DX36+$DH$17)  ))   ,$DV36,  "")</f>
        <v/>
      </c>
      <c r="CV36" s="111" t="str">
        <f aca="false">IF(    OR(   AND($C36=10000000,    $A$17&lt;=CV$19,      ($A$17+$DH$17)&gt;CV$19    ),   AND($C36&lt;&gt;10000000,  CV$19&gt;=$DW36,    CV$19&lt;=($DX36+$DH$17)  ))   ,$DV36,  "")</f>
        <v/>
      </c>
      <c r="CW36" s="111" t="str">
        <f aca="false">IF(    OR(   AND($C36=10000000,    $A$17&lt;=CW$19,      ($A$17+$DH$17)&gt;CW$19    ),   AND($C36&lt;&gt;10000000,  CW$19&gt;=$DW36,    CW$19&lt;=($DX36+$DH$17)  ))   ,$DV36,  "")</f>
        <v/>
      </c>
      <c r="CX36" s="111" t="str">
        <f aca="false">IF(    OR(   AND($C36=10000000,    $A$17&lt;=CX$19,      ($A$17+$DH$17)&gt;CX$19    ),   AND($C36&lt;&gt;10000000,  CX$19&gt;=$DW36,    CX$19&lt;=($DX36+$DH$17)  ))   ,$DV36,  "")</f>
        <v/>
      </c>
      <c r="CY36" s="111" t="str">
        <f aca="false">IF(    OR(   AND($C36=10000000,    $A$17&lt;=CY$19,      ($A$17+$DH$17)&gt;CY$19    ),   AND($C36&lt;&gt;10000000,  CY$19&gt;=$DW36,    CY$19&lt;=($DX36+$DH$17)  ))   ,$DV36,  "")</f>
        <v/>
      </c>
      <c r="CZ36" s="111" t="str">
        <f aca="false">IF(    OR(   AND($C36=10000000,    $A$17&lt;=CZ$19,      ($A$17+$DH$17)&gt;CZ$19    ),   AND($C36&lt;&gt;10000000,  CZ$19&gt;=$DW36,    CZ$19&lt;=($DX36+$DH$17)  ))   ,$DV36,  "")</f>
        <v/>
      </c>
      <c r="DA36" s="111" t="str">
        <f aca="false">IF(    OR(   AND($C36=10000000,    $A$17&lt;=DA$19,      ($A$17+$DH$17)&gt;DA$19    ),   AND($C36&lt;&gt;10000000,  DA$19&gt;=$DW36,    DA$19&lt;=($DX36+$DH$17)  ))   ,$DV36,  "")</f>
        <v/>
      </c>
      <c r="DB36" s="111" t="str">
        <f aca="false">IF(    OR(   AND($C36=10000000,    $A$17&lt;=DB$19,      ($A$17+$DH$17)&gt;DB$19    ),   AND($C36&lt;&gt;10000000,  DB$19&gt;=$DW36,    DB$19&lt;=($DX36+$DH$17)  ))   ,$DV36,  "")</f>
        <v/>
      </c>
      <c r="DC36" s="111" t="str">
        <f aca="false">IF(    OR(   AND($C36=10000000,    $A$17&lt;=DC$19,      ($A$17+$DH$17)&gt;DC$19    ),   AND($C36&lt;&gt;10000000,  DC$19&gt;=$DW36,    DC$19&lt;=($DX36+$DH$17)  ))   ,$DV36,  "")</f>
        <v/>
      </c>
      <c r="DD36" s="111" t="str">
        <f aca="false">IF(    OR(   AND($C36=10000000,    $A$17&lt;=DD$19,      ($A$17+$DH$17)&gt;DD$19    ),   AND($C36&lt;&gt;10000000,  DD$19&gt;=$DW36,    DD$19&lt;=($DX36+$DH$17)  ))   ,$DV36,  "")</f>
        <v/>
      </c>
      <c r="DE36" s="111" t="str">
        <f aca="false">IF(    OR(   AND($C36=10000000,    $A$17&lt;=DE$19,      ($A$17+$DH$17)&gt;DE$19    ),   AND($C36&lt;&gt;10000000,  DE$19&gt;=$DW36,    DE$19&lt;=($DX36+$DH$17)  ))   ,$DV36,  "")</f>
        <v/>
      </c>
      <c r="DF36" s="111" t="str">
        <f aca="false">IF(    OR(   AND($C36=10000000,    $A$17&lt;=DF$19,      ($A$17+$DH$17)&gt;DF$19    ),   AND($C36&lt;&gt;10000000,  DF$19&gt;=$DW36,    DF$19&lt;=($DX36+$DH$17)  ))   ,$DV36,  "")</f>
        <v/>
      </c>
      <c r="DG36" s="111" t="str">
        <f aca="false">IF(    OR(   AND($C36=10000000,    $A$17&lt;=DG$19,      ($A$17+$DH$17)&gt;DG$19    ),   AND($C36&lt;&gt;10000000,  DG$19&gt;=$DW36,    DG$19&lt;=($DX36+$DH$17)  ))   ,$DV36,  "")</f>
        <v/>
      </c>
      <c r="DH36" s="111" t="str">
        <f aca="false">IF(    OR(   AND($C36=10000000,    $A$17&lt;=DH$19,      ($A$17+$DH$17)&gt;DH$19    ),   AND($C36&lt;&gt;10000000,  DH$19&gt;=$DW36,    DH$19&lt;=($DX36+$DH$17)  ))   ,$DV36,  "")</f>
        <v/>
      </c>
      <c r="DI36" s="112" t="str">
        <f aca="false">IF(BB36="","",IF(ISERROR(FIND(CHAR(10),BB36,1)),BB36,LEFT(BB36,FIND(CHAR(10),BB36,1))))</f>
        <v/>
      </c>
      <c r="DJ36" s="53" t="str">
        <f aca="false">IF(BB36="","",IFERROR(RIGHT(BB36,LEN(BB36)-FIND("@@@",SUBSTITUTE(BB36,CHAR(10),"@@@",LEN(BB36)-LEN(SUBSTITUTE(BB36,CHAR(10),""))),1)),BB36))</f>
        <v/>
      </c>
      <c r="DK36" s="53" t="str">
        <f aca="false">IF(BC36="","",IFERROR(RIGHT(BC36,LEN(BC36)-FIND("@@@",SUBSTITUTE(BC36,CHAR(10),"@@@",LEN(BC36)-LEN(SUBSTITUTE(BC36,CHAR(10),""))),1)),BC36))</f>
        <v/>
      </c>
      <c r="DL36" s="113" t="str">
        <f aca="false">IFERROR(DATE(("20"&amp;MID(DI36,7,2))*1,MID(DI36,4,2)*1,MID(DI36,1,2)*1),"none")</f>
        <v>none</v>
      </c>
      <c r="DM36" s="113" t="str">
        <f aca="false">IFERROR(DATE(("20"&amp;MID(DJ36,7,2))*1,MID(DJ36,4,2)*1,MID(DJ36,1,2)*1),"none")</f>
        <v>none</v>
      </c>
      <c r="DN36" s="113" t="n">
        <f aca="false">IF(DL36&lt;&gt;"none",DL36,DATE(1900,1,1))</f>
        <v>2</v>
      </c>
      <c r="DO36" s="113" t="n">
        <f aca="false">IF(DM36&lt;&gt;"none",DM36,DN36)</f>
        <v>2</v>
      </c>
      <c r="DP36" s="114" t="n">
        <f aca="false">_xlfn.DAYS($A$17,DN36)</f>
        <v>45332</v>
      </c>
      <c r="DQ36" s="114" t="n">
        <f aca="false">_xlfn.DAYS($A$17, DO36)</f>
        <v>45332</v>
      </c>
      <c r="DR36" s="51" t="n">
        <f aca="false">IF(DO36&lt;&gt;"",INT(DQ36/7),0)</f>
        <v>6476</v>
      </c>
      <c r="DS36" s="114" t="n">
        <f aca="false">IF(M36="Overdue",_xlfn.DAYS($A$17,AL36),0)</f>
        <v>0</v>
      </c>
      <c r="DT36" s="114" t="n">
        <f aca="false">IF(AH36="Project",_xlfn.DAYS(AL36,$A$17),0)</f>
        <v>0</v>
      </c>
      <c r="DU36" s="51" t="str">
        <f aca="false">IFERROR(INDEX(Static!$D$5:$E$11,MATCH(AH36,Static!$D$5:$D$11,0),2),"")</f>
        <v/>
      </c>
      <c r="DV36" s="51" t="str">
        <f aca="false">IF(C36=10000000,"Red",IF(OR(C36=11000000,C36=12000000),"Black",IF(C36=11100000,"Dark",IF(AND(C36=12100000,M36="Completed"),"Green",IF(AND(C36=12100000,M36="Overdue"),"Red",IF(C36=12100000,"Dark",IF(AND(C36=12110000,M36="Overdue"),"LightRed",IF(AND(C36=12110000,M36="Completed"),"LightGreen",IF(OR(C36=11110000,C36=12110000),"Light",IF(AND(C36=12111000,M36="Overdue"),"SoftRed",IF(AND(C36=12111000,M36="Completed"),"SoftGreen",IF(OR(C36=11111000,C36=12111000),"Grey",""))))))))))))</f>
        <v/>
      </c>
      <c r="DW36" s="49" t="n">
        <f aca="false">IF(AK36&lt;&gt;"",AK36,$BI$19)</f>
        <v>44927</v>
      </c>
      <c r="DX36" s="49" t="n">
        <f aca="false">IF(AL36&lt;&gt;"",AL36,$DH$19)</f>
        <v>45657</v>
      </c>
      <c r="DY36" s="79" t="s">
        <v>450</v>
      </c>
    </row>
    <row r="37" customFormat="false" ht="14.15" hidden="false" customHeight="true" outlineLevel="0" collapsed="false">
      <c r="A37" s="63"/>
      <c r="B37" s="53" t="n">
        <f aca="false">AH37</f>
        <v>0</v>
      </c>
      <c r="C37" s="51" t="n">
        <f aca="false">IFERROR(INDEX(Static!$D$5:$F$11,MATCH(AH37,Static!$D$5:$D$11,0),3),90000000)</f>
        <v>90000000</v>
      </c>
      <c r="D37" s="51" t="str">
        <f aca="false">MID(C37,2,1)</f>
        <v>0</v>
      </c>
      <c r="E37" s="53" t="str">
        <f aca="false">AB37</f>
        <v/>
      </c>
      <c r="F37" s="51" t="str">
        <f aca="false">IF(B37="Venture",0,IF(OR(B37="Project",B37="Stream",B37="Action"),AK37,""))</f>
        <v/>
      </c>
      <c r="G37" s="51" t="n">
        <f aca="false">AS37</f>
        <v>0</v>
      </c>
      <c r="H37" s="51" t="str">
        <f aca="false">IF(B37="Venture",0,IFERROR(INDEX($E$20:$F$55,MATCH(G37,$E$20:$E$55,0),2),""))</f>
        <v/>
      </c>
      <c r="I37" s="51" t="str">
        <f aca="false">IF(B37="Venture",0,IFERROR(INDEX($E$20:$G$55,MATCH(G37,$E$20:$E$55,0),3),""))</f>
        <v/>
      </c>
      <c r="J37" s="51" t="str">
        <f aca="false">IF(B37="Venture",0,IFERROR(INDEX($E$20:$H$55,MATCH(G37,$E$20:$E$55,0),4),""))</f>
        <v/>
      </c>
      <c r="K37" s="51" t="n">
        <f aca="false">IF(B37="Venture",0,IFERROR(INDEX($E$20:$G$55,MATCH(I37,$E$20:$E$55,0),3),""))</f>
        <v>0</v>
      </c>
      <c r="L37" s="51" t="str">
        <f aca="false">IF(M37="Completed","Completed","Ongoing")</f>
        <v>Ongoing</v>
      </c>
      <c r="M37" s="51" t="n">
        <f aca="false">IF(OR(AH37="Venture",AH37="Routine",AH37="Run Goal", AH37="Chg Goal", AH37=""),AH37,IF(AN37&lt;&gt;"","Completed",IF(AM37&lt;&gt;"","Pending",IF(AND(AL37&lt;&gt;"",$A$17&gt;AL37),"Overdue",IF($A$17&gt;AK37,"Started","Open")))))</f>
        <v>0</v>
      </c>
      <c r="N37" s="50" t="n">
        <f aca="false">((LEN($BC37)-LEN(SUBSTITUTE($BC37,CHAR(10)&amp;". ","")))/3)+IF(LEFT(TRIM($BC37),2)=". ",1,0)</f>
        <v>0</v>
      </c>
      <c r="O37" s="50" t="n">
        <f aca="false">((LEN($BC37)-LEN(SUBSTITUTE($BC37,CHAR(10)&amp;"/ ","")))/3)+IF(LEFT(TRIM($BC37),2)="/ ",1,0)</f>
        <v>0</v>
      </c>
      <c r="P37" s="50" t="n">
        <f aca="false">((LEN($BC37)-LEN(SUBSTITUTE($BC37,CHAR(10)&amp;"~ ","")))/3)+IF(LEFT(TRIM($BC37),2)="~ ",1,0)</f>
        <v>0</v>
      </c>
      <c r="Q37" s="50" t="n">
        <f aca="false">((LEN($BC37)-LEN(SUBSTITUTE($BC37,CHAR(10)&amp;"! ","")))/3)+IF(LEFT(TRIM($BC37),2)="! ",1,0)</f>
        <v>0</v>
      </c>
      <c r="R37" s="50" t="n">
        <f aca="false">((LEN($BC37)-LEN(SUBSTITUTE($BC37,CHAR(10)&amp;"x ","")))/3)+IF(LEFT(TRIM($BC37),2)="x ",1,0)</f>
        <v>0</v>
      </c>
      <c r="S37" s="50" t="n">
        <f aca="false">SUM(N37:R37)</f>
        <v>0</v>
      </c>
      <c r="T37" s="51" t="n">
        <f aca="false">IF(OR($B37="Drill",$B37="Action"),$AO37,0)</f>
        <v>0</v>
      </c>
      <c r="U37" s="51" t="n">
        <f aca="false">IF(OR($B37="Sub",$B37="Stream"),$AO37+SUMIFS($AO$20:$AO$55,$G$20:$G$55,$E37),0)</f>
        <v>0</v>
      </c>
      <c r="V37" s="51" t="n">
        <f aca="false">IF(OR($B37="Routine",$B37="Project"),$AO37+SUMIFS($U$20:$U$55,$G$20:$G$55,$E37),0)</f>
        <v>0</v>
      </c>
      <c r="W37" s="51" t="n">
        <f aca="false">IF($B37="Venture",$AO37+SUMIFS($V$20:$V$55,$G$20:$G$55,$E37),0)</f>
        <v>0</v>
      </c>
      <c r="X37" s="51" t="n">
        <f aca="false">IF(OR($B37="Drill",$B37="Action"),$AP37,0)</f>
        <v>0</v>
      </c>
      <c r="Y37" s="51" t="n">
        <f aca="false">IF(OR($B37="Sub",$B37="Stream"),$AP37+SUMIFS($AP$20:$AP$55,$G$20:$G$55,$E37),0)</f>
        <v>0</v>
      </c>
      <c r="Z37" s="51" t="n">
        <f aca="false">IF(OR($B37="Routine",$B37="Project"),$AP37+SUMIFS($Y$20:$Y$55,$G$20:$G$55,$E37),0)</f>
        <v>0</v>
      </c>
      <c r="AA37" s="51" t="n">
        <f aca="false">IF($B37="Venture",$AP37+SUMIFS($Z$20:$Z$55,$G$20:$G$55,$E37),0)</f>
        <v>0</v>
      </c>
      <c r="AB37" s="51" t="str">
        <f aca="false">IF(OR(AH37="Venture", AH37="Run Goal", AH37="Chg Goal"),AI37,AH37&amp;AI37&amp;AR37)</f>
        <v/>
      </c>
      <c r="AC37" s="53" t="str">
        <f aca="false">"  -  "&amp;IF(C37=90000000,9&amp;"Z",D37&amp;AE37&amp;IF(OR(B37="Run Goal",B37="Chg Goal", B37="Venture"),"",IF(OR(B37="Routine",B37="Project"),F37&amp;E37,  IF(OR(B37="Sub",B37="Stream"),H37&amp;G37&amp;F37&amp;E37,IF(OR(B37="Drill",B37="Action"),J37&amp;I37&amp;H37&amp;G37&amp;F37&amp;E37,     "") )    )))</f>
        <v>  -  9Z</v>
      </c>
      <c r="AD37" s="51" t="str">
        <f aca="false">IF(AND(AM37="",AN37=""),"Y","N")</f>
        <v>Y</v>
      </c>
      <c r="AE37" s="103" t="str">
        <f aca="false">IF(OR(AF37="Y",AF37="Y"),AF37,IF(DM37="none","N",IF(DM37&gt;($A$17-WEEKDAY($A$17,2)-(7*$AE$18)),"Y","N")))</f>
        <v>N</v>
      </c>
      <c r="AF37" s="104"/>
      <c r="AG37" s="105"/>
      <c r="AH37" s="79"/>
      <c r="AI37" s="56"/>
      <c r="AJ37" s="56"/>
      <c r="AK37" s="106"/>
      <c r="AL37" s="106"/>
      <c r="AM37" s="106"/>
      <c r="AN37" s="106"/>
      <c r="AO37" s="107"/>
      <c r="AP37" s="107"/>
      <c r="AQ37" s="79"/>
      <c r="AR37" s="79"/>
      <c r="AS37" s="79"/>
      <c r="AT37" s="79"/>
      <c r="AU37" s="79"/>
      <c r="AV37" s="79"/>
      <c r="AW37" s="79"/>
      <c r="AX37" s="79"/>
      <c r="AY37" s="79"/>
      <c r="AZ37" s="79"/>
      <c r="BA37" s="63"/>
      <c r="BB37" s="108"/>
      <c r="BC37" s="63"/>
      <c r="BD37" s="51" t="n">
        <f aca="false">SUM(N37:Q37)</f>
        <v>0</v>
      </c>
      <c r="BE37" s="59" t="n">
        <f aca="false">IF(AI37="",1,IF(S37&lt;&gt;0,(O37*0.5+R37)/S37,1))</f>
        <v>1</v>
      </c>
      <c r="BF37" s="81" t="str">
        <f aca="false">IF(AH37="","",IF(AH37="Venture",W37,IF(OR(AH37="Chg Goal",AH37="RUn Goal"),V37,IF(OR(AH37="ROutine",AH37="Project"),V37,IF(OR(AH37="Sub",AH37="Stream"),U37,IF(OR(AH37="Drill",AH37="Action"),T37,0))))))</f>
        <v/>
      </c>
      <c r="BG37" s="81" t="str">
        <f aca="false">IF(AH37="","",IF(AH37="Venture",AA37,IF(OR(AH37="Chg Goal",AH37="RUn Goal"),Z37,IF(OR(AH37="ROutine",AH37="Project"),Z37,IF(OR(AH37="Sub",AH37="Stream"),Y37,IF(OR(AH37="Drill",AH37="Action"),X37,0))))))</f>
        <v/>
      </c>
      <c r="BH37" s="109" t="str">
        <f aca="false">IF(AI37="","",IF(OR(BF37=0, BF37=""),0,BG37/BF37))</f>
        <v/>
      </c>
      <c r="BI37" s="110" t="str">
        <f aca="false">IF(    OR(   AND($C37=10000000,    BI$19&gt;=$A$17,      BI$19 &lt;($A$17+$DH$17)   ),   AND($C37&lt;&gt;10000000,  BI$19&gt;=$DW37,    BI$19&lt;=($DX37+$DH$17)  ))   ,$DV37,  "")</f>
        <v/>
      </c>
      <c r="BJ37" s="111" t="str">
        <f aca="false">IF(    OR(   AND($C37=10000000,    $A$17&lt;=BJ$19,      ($A$17+$DH$17)&gt;BJ$19    ),   AND($C37&lt;&gt;10000000,  BJ$19&gt;=$DW37,    BJ$19&lt;=($DX37+$DH$17)  ))   ,$DV37,  "")</f>
        <v/>
      </c>
      <c r="BK37" s="111" t="str">
        <f aca="false">IF(    OR(   AND($C37=10000000,    $A$17&lt;=BK$19,      ($A$17+$DH$17)&gt;BK$19    ),   AND($C37&lt;&gt;10000000,  BK$19&gt;=$DW37,    BK$19&lt;=($DX37+$DH$17)  ))   ,$DV37,  "")</f>
        <v/>
      </c>
      <c r="BL37" s="111" t="str">
        <f aca="false">IF(    OR(   AND($C37=10000000,    $A$17&lt;=BL$19,      ($A$17+$DH$17)&gt;BL$19    ),   AND($C37&lt;&gt;10000000,  BL$19&gt;=$DW37,    BL$19&lt;=($DX37+$DH$17)  ))   ,$DV37,  "")</f>
        <v/>
      </c>
      <c r="BM37" s="111" t="str">
        <f aca="false">IF(    OR(   AND($C37=10000000,    $A$17&lt;=BM$19,      ($A$17+$DH$17)&gt;BM$19    ),   AND($C37&lt;&gt;10000000,  BM$19&gt;=$DW37,    BM$19&lt;=($DX37+$DH$17)  ))   ,$DV37,  "")</f>
        <v/>
      </c>
      <c r="BN37" s="111" t="str">
        <f aca="false">IF(    OR(   AND($C37=10000000,    $A$17&lt;=BN$19,      ($A$17+$DH$17)&gt;BN$19    ),   AND($C37&lt;&gt;10000000,  BN$19&gt;=$DW37,    BN$19&lt;=($DX37+$DH$17)  ))   ,$DV37,  "")</f>
        <v/>
      </c>
      <c r="BO37" s="111" t="str">
        <f aca="false">IF(    OR(   AND($C37=10000000,    $A$17&lt;=BO$19,      ($A$17+$DH$17)&gt;BO$19    ),   AND($C37&lt;&gt;10000000,  BO$19&gt;=$DW37,    BO$19&lt;=($DX37+$DH$17)  ))   ,$DV37,  "")</f>
        <v/>
      </c>
      <c r="BP37" s="111" t="str">
        <f aca="false">IF(    OR(   AND($C37=10000000,    $A$17&lt;=BP$19,      ($A$17+$DH$17)&gt;BP$19    ),   AND($C37&lt;&gt;10000000,  BP$19&gt;=$DW37,    BP$19&lt;=($DX37+$DH$17)  ))   ,$DV37,  "")</f>
        <v/>
      </c>
      <c r="BQ37" s="111" t="str">
        <f aca="false">IF(    OR(   AND($C37=10000000,    $A$17&lt;=BQ$19,      ($A$17+$DH$17)&gt;BQ$19    ),   AND($C37&lt;&gt;10000000,  BQ$19&gt;=$DW37,    BQ$19&lt;=($DX37+$DH$17)  ))   ,$DV37,  "")</f>
        <v/>
      </c>
      <c r="BR37" s="111" t="str">
        <f aca="false">IF(    OR(   AND($C37=10000000,    $A$17&lt;=BR$19,      ($A$17+$DH$17)&gt;BR$19    ),   AND($C37&lt;&gt;10000000,  BR$19&gt;=$DW37,    BR$19&lt;=($DX37+$DH$17)  ))   ,$DV37,  "")</f>
        <v/>
      </c>
      <c r="BS37" s="111" t="str">
        <f aca="false">IF(    OR(   AND($C37=10000000,    $A$17&lt;=BS$19,      ($A$17+$DH$17)&gt;BS$19    ),   AND($C37&lt;&gt;10000000,  BS$19&gt;=$DW37,    BS$19&lt;=($DX37+$DH$17)  ))   ,$DV37,  "")</f>
        <v/>
      </c>
      <c r="BT37" s="111" t="str">
        <f aca="false">IF(    OR(   AND($C37=10000000,    $A$17&lt;=BT$19,      ($A$17+$DH$17)&gt;BT$19    ),   AND($C37&lt;&gt;10000000,  BT$19&gt;=$DW37,    BT$19&lt;=($DX37+$DH$17)  ))   ,$DV37,  "")</f>
        <v/>
      </c>
      <c r="BU37" s="111" t="str">
        <f aca="false">IF(    OR(   AND($C37=10000000,    $A$17&lt;=BU$19,      ($A$17+$DH$17)&gt;BU$19    ),   AND($C37&lt;&gt;10000000,  BU$19&gt;=$DW37,    BU$19&lt;=($DX37+$DH$17)  ))   ,$DV37,  "")</f>
        <v/>
      </c>
      <c r="BV37" s="111" t="str">
        <f aca="false">IF(    OR(   AND($C37=10000000,    $A$17&lt;=BV$19,      ($A$17+$DH$17)&gt;BV$19    ),   AND($C37&lt;&gt;10000000,  BV$19&gt;=$DW37,    BV$19&lt;=($DX37+$DH$17)  ))   ,$DV37,  "")</f>
        <v/>
      </c>
      <c r="BW37" s="111" t="str">
        <f aca="false">IF(    OR(   AND($C37=10000000,    $A$17&lt;=BW$19,      ($A$17+$DH$17)&gt;BW$19    ),   AND($C37&lt;&gt;10000000,  BW$19&gt;=$DW37,    BW$19&lt;=($DX37+$DH$17)  ))   ,$DV37,  "")</f>
        <v/>
      </c>
      <c r="BX37" s="111" t="str">
        <f aca="false">IF(    OR(   AND($C37=10000000,    $A$17&lt;=BX$19,      ($A$17+$DH$17)&gt;BX$19    ),   AND($C37&lt;&gt;10000000,  BX$19&gt;=$DW37,    BX$19&lt;=($DX37+$DH$17)  ))   ,$DV37,  "")</f>
        <v/>
      </c>
      <c r="BY37" s="111" t="str">
        <f aca="false">IF(    OR(   AND($C37=10000000,    $A$17&lt;=BY$19,      ($A$17+$DH$17)&gt;BY$19    ),   AND($C37&lt;&gt;10000000,  BY$19&gt;=$DW37,    BY$19&lt;=($DX37+$DH$17)  ))   ,$DV37,  "")</f>
        <v/>
      </c>
      <c r="BZ37" s="111" t="str">
        <f aca="false">IF(    OR(   AND($C37=10000000,    $A$17&lt;=BZ$19,      ($A$17+$DH$17)&gt;BZ$19    ),   AND($C37&lt;&gt;10000000,  BZ$19&gt;=$DW37,    BZ$19&lt;=($DX37+$DH$17)  ))   ,$DV37,  "")</f>
        <v/>
      </c>
      <c r="CA37" s="111" t="str">
        <f aca="false">IF(    OR(   AND($C37=10000000,    $A$17&lt;=CA$19,      ($A$17+$DH$17)&gt;CA$19    ),   AND($C37&lt;&gt;10000000,  CA$19&gt;=$DW37,    CA$19&lt;=($DX37+$DH$17)  ))   ,$DV37,  "")</f>
        <v/>
      </c>
      <c r="CB37" s="111" t="str">
        <f aca="false">IF(    OR(   AND($C37=10000000,    $A$17&lt;=CB$19,      ($A$17+$DH$17)&gt;CB$19    ),   AND($C37&lt;&gt;10000000,  CB$19&gt;=$DW37,    CB$19&lt;=($DX37+$DH$17)  ))   ,$DV37,  "")</f>
        <v/>
      </c>
      <c r="CC37" s="111" t="str">
        <f aca="false">IF(    OR(   AND($C37=10000000,    $A$17&lt;=CC$19,      ($A$17+$DH$17)&gt;CC$19    ),   AND($C37&lt;&gt;10000000,  CC$19&gt;=$DW37,    CC$19&lt;=($DX37+$DH$17)  ))   ,$DV37,  "")</f>
        <v/>
      </c>
      <c r="CD37" s="111" t="str">
        <f aca="false">IF(    OR(   AND($C37=10000000,    $A$17&lt;=CD$19,      ($A$17+$DH$17)&gt;CD$19    ),   AND($C37&lt;&gt;10000000,  CD$19&gt;=$DW37,    CD$19&lt;=($DX37+$DH$17)  ))   ,$DV37,  "")</f>
        <v/>
      </c>
      <c r="CE37" s="111" t="str">
        <f aca="false">IF(    OR(   AND($C37=10000000,    $A$17&lt;=CE$19,      ($A$17+$DH$17)&gt;CE$19    ),   AND($C37&lt;&gt;10000000,  CE$19&gt;=$DW37,    CE$19&lt;=($DX37+$DH$17)  ))   ,$DV37,  "")</f>
        <v/>
      </c>
      <c r="CF37" s="111" t="str">
        <f aca="false">IF(    OR(   AND($C37=10000000,    $A$17&lt;=CF$19,      ($A$17+$DH$17)&gt;CF$19    ),   AND($C37&lt;&gt;10000000,  CF$19&gt;=$DW37,    CF$19&lt;=($DX37+$DH$17)  ))   ,$DV37,  "")</f>
        <v/>
      </c>
      <c r="CG37" s="111" t="str">
        <f aca="false">IF(    OR(   AND($C37=10000000,    $A$17&lt;=CG$19,      ($A$17+$DH$17)&gt;CG$19    ),   AND($C37&lt;&gt;10000000,  CG$19&gt;=$DW37,    CG$19&lt;=($DX37+$DH$17)  ))   ,$DV37,  "")</f>
        <v/>
      </c>
      <c r="CH37" s="111" t="str">
        <f aca="false">IF(    OR(   AND($C37=10000000,    $A$17&lt;=CH$19,      ($A$17+$DH$17)&gt;CH$19    ),   AND($C37&lt;&gt;10000000,  CH$19&gt;=$DW37,    CH$19&lt;=($DX37+$DH$17)  ))   ,$DV37,  "")</f>
        <v/>
      </c>
      <c r="CI37" s="111" t="str">
        <f aca="false">IF(    OR(   AND($C37=10000000,    $A$17&lt;=CI$19,      ($A$17+$DH$17)&gt;CI$19    ),   AND($C37&lt;&gt;10000000,  CI$19&gt;=$DW37,    CI$19&lt;=($DX37+$DH$17)  ))   ,$DV37,  "")</f>
        <v/>
      </c>
      <c r="CJ37" s="111" t="str">
        <f aca="false">IF(    OR(   AND($C37=10000000,    $A$17&lt;=CJ$19,      ($A$17+$DH$17)&gt;CJ$19    ),   AND($C37&lt;&gt;10000000,  CJ$19&gt;=$DW37,    CJ$19&lt;=($DX37+$DH$17)  ))   ,$DV37,  "")</f>
        <v/>
      </c>
      <c r="CK37" s="111" t="str">
        <f aca="false">IF(    OR(   AND($C37=10000000,    $A$17&lt;=CK$19,      ($A$17+$DH$17)&gt;CK$19    ),   AND($C37&lt;&gt;10000000,  CK$19&gt;=$DW37,    CK$19&lt;=($DX37+$DH$17)  ))   ,$DV37,  "")</f>
        <v/>
      </c>
      <c r="CL37" s="111" t="str">
        <f aca="false">IF(    OR(   AND($C37=10000000,    $A$17&lt;=CL$19,      ($A$17+$DH$17)&gt;CL$19    ),   AND($C37&lt;&gt;10000000,  CL$19&gt;=$DW37,    CL$19&lt;=($DX37+$DH$17)  ))   ,$DV37,  "")</f>
        <v/>
      </c>
      <c r="CM37" s="111" t="str">
        <f aca="false">IF(    OR(   AND($C37=10000000,    $A$17&lt;=CM$19,      ($A$17+$DH$17)&gt;CM$19    ),   AND($C37&lt;&gt;10000000,  CM$19&gt;=$DW37,    CM$19&lt;=($DX37+$DH$17)  ))   ,$DV37,  "")</f>
        <v/>
      </c>
      <c r="CN37" s="111" t="str">
        <f aca="false">IF(    OR(   AND($C37=10000000,    $A$17&lt;=CN$19,      ($A$17+$DH$17)&gt;CN$19    ),   AND($C37&lt;&gt;10000000,  CN$19&gt;=$DW37,    CN$19&lt;=($DX37+$DH$17)  ))   ,$DV37,  "")</f>
        <v/>
      </c>
      <c r="CO37" s="111" t="str">
        <f aca="false">IF(    OR(   AND($C37=10000000,    $A$17&lt;=CO$19,      ($A$17+$DH$17)&gt;CO$19    ),   AND($C37&lt;&gt;10000000,  CO$19&gt;=$DW37,    CO$19&lt;=($DX37+$DH$17)  ))   ,$DV37,  "")</f>
        <v/>
      </c>
      <c r="CP37" s="111" t="str">
        <f aca="false">IF(    OR(   AND($C37=10000000,    $A$17&lt;=CP$19,      ($A$17+$DH$17)&gt;CP$19    ),   AND($C37&lt;&gt;10000000,  CP$19&gt;=$DW37,    CP$19&lt;=($DX37+$DH$17)  ))   ,$DV37,  "")</f>
        <v/>
      </c>
      <c r="CQ37" s="111" t="str">
        <f aca="false">IF(    OR(   AND($C37=10000000,    $A$17&lt;=CQ$19,      ($A$17+$DH$17)&gt;CQ$19    ),   AND($C37&lt;&gt;10000000,  CQ$19&gt;=$DW37,    CQ$19&lt;=($DX37+$DH$17)  ))   ,$DV37,  "")</f>
        <v/>
      </c>
      <c r="CR37" s="111" t="str">
        <f aca="false">IF(    OR(   AND($C37=10000000,    $A$17&lt;=CR$19,      ($A$17+$DH$17)&gt;CR$19    ),   AND($C37&lt;&gt;10000000,  CR$19&gt;=$DW37,    CR$19&lt;=($DX37+$DH$17)  ))   ,$DV37,  "")</f>
        <v/>
      </c>
      <c r="CS37" s="111" t="str">
        <f aca="false">IF(    OR(   AND($C37=10000000,    $A$17&lt;=CS$19,      ($A$17+$DH$17)&gt;CS$19    ),   AND($C37&lt;&gt;10000000,  CS$19&gt;=$DW37,    CS$19&lt;=($DX37+$DH$17)  ))   ,$DV37,  "")</f>
        <v/>
      </c>
      <c r="CT37" s="111" t="str">
        <f aca="false">IF(    OR(   AND($C37=10000000,    $A$17&lt;=CT$19,      ($A$17+$DH$17)&gt;CT$19    ),   AND($C37&lt;&gt;10000000,  CT$19&gt;=$DW37,    CT$19&lt;=($DX37+$DH$17)  ))   ,$DV37,  "")</f>
        <v/>
      </c>
      <c r="CU37" s="111" t="str">
        <f aca="false">IF(    OR(   AND($C37=10000000,    $A$17&lt;=CU$19,      ($A$17+$DH$17)&gt;CU$19    ),   AND($C37&lt;&gt;10000000,  CU$19&gt;=$DW37,    CU$19&lt;=($DX37+$DH$17)  ))   ,$DV37,  "")</f>
        <v/>
      </c>
      <c r="CV37" s="111" t="str">
        <f aca="false">IF(    OR(   AND($C37=10000000,    $A$17&lt;=CV$19,      ($A$17+$DH$17)&gt;CV$19    ),   AND($C37&lt;&gt;10000000,  CV$19&gt;=$DW37,    CV$19&lt;=($DX37+$DH$17)  ))   ,$DV37,  "")</f>
        <v/>
      </c>
      <c r="CW37" s="111" t="str">
        <f aca="false">IF(    OR(   AND($C37=10000000,    $A$17&lt;=CW$19,      ($A$17+$DH$17)&gt;CW$19    ),   AND($C37&lt;&gt;10000000,  CW$19&gt;=$DW37,    CW$19&lt;=($DX37+$DH$17)  ))   ,$DV37,  "")</f>
        <v/>
      </c>
      <c r="CX37" s="111" t="str">
        <f aca="false">IF(    OR(   AND($C37=10000000,    $A$17&lt;=CX$19,      ($A$17+$DH$17)&gt;CX$19    ),   AND($C37&lt;&gt;10000000,  CX$19&gt;=$DW37,    CX$19&lt;=($DX37+$DH$17)  ))   ,$DV37,  "")</f>
        <v/>
      </c>
      <c r="CY37" s="111" t="str">
        <f aca="false">IF(    OR(   AND($C37=10000000,    $A$17&lt;=CY$19,      ($A$17+$DH$17)&gt;CY$19    ),   AND($C37&lt;&gt;10000000,  CY$19&gt;=$DW37,    CY$19&lt;=($DX37+$DH$17)  ))   ,$DV37,  "")</f>
        <v/>
      </c>
      <c r="CZ37" s="111" t="str">
        <f aca="false">IF(    OR(   AND($C37=10000000,    $A$17&lt;=CZ$19,      ($A$17+$DH$17)&gt;CZ$19    ),   AND($C37&lt;&gt;10000000,  CZ$19&gt;=$DW37,    CZ$19&lt;=($DX37+$DH$17)  ))   ,$DV37,  "")</f>
        <v/>
      </c>
      <c r="DA37" s="111" t="str">
        <f aca="false">IF(    OR(   AND($C37=10000000,    $A$17&lt;=DA$19,      ($A$17+$DH$17)&gt;DA$19    ),   AND($C37&lt;&gt;10000000,  DA$19&gt;=$DW37,    DA$19&lt;=($DX37+$DH$17)  ))   ,$DV37,  "")</f>
        <v/>
      </c>
      <c r="DB37" s="111" t="str">
        <f aca="false">IF(    OR(   AND($C37=10000000,    $A$17&lt;=DB$19,      ($A$17+$DH$17)&gt;DB$19    ),   AND($C37&lt;&gt;10000000,  DB$19&gt;=$DW37,    DB$19&lt;=($DX37+$DH$17)  ))   ,$DV37,  "")</f>
        <v/>
      </c>
      <c r="DC37" s="111" t="str">
        <f aca="false">IF(    OR(   AND($C37=10000000,    $A$17&lt;=DC$19,      ($A$17+$DH$17)&gt;DC$19    ),   AND($C37&lt;&gt;10000000,  DC$19&gt;=$DW37,    DC$19&lt;=($DX37+$DH$17)  ))   ,$DV37,  "")</f>
        <v/>
      </c>
      <c r="DD37" s="111" t="str">
        <f aca="false">IF(    OR(   AND($C37=10000000,    $A$17&lt;=DD$19,      ($A$17+$DH$17)&gt;DD$19    ),   AND($C37&lt;&gt;10000000,  DD$19&gt;=$DW37,    DD$19&lt;=($DX37+$DH$17)  ))   ,$DV37,  "")</f>
        <v/>
      </c>
      <c r="DE37" s="111" t="str">
        <f aca="false">IF(    OR(   AND($C37=10000000,    $A$17&lt;=DE$19,      ($A$17+$DH$17)&gt;DE$19    ),   AND($C37&lt;&gt;10000000,  DE$19&gt;=$DW37,    DE$19&lt;=($DX37+$DH$17)  ))   ,$DV37,  "")</f>
        <v/>
      </c>
      <c r="DF37" s="111" t="str">
        <f aca="false">IF(    OR(   AND($C37=10000000,    $A$17&lt;=DF$19,      ($A$17+$DH$17)&gt;DF$19    ),   AND($C37&lt;&gt;10000000,  DF$19&gt;=$DW37,    DF$19&lt;=($DX37+$DH$17)  ))   ,$DV37,  "")</f>
        <v/>
      </c>
      <c r="DG37" s="111" t="str">
        <f aca="false">IF(    OR(   AND($C37=10000000,    $A$17&lt;=DG$19,      ($A$17+$DH$17)&gt;DG$19    ),   AND($C37&lt;&gt;10000000,  DG$19&gt;=$DW37,    DG$19&lt;=($DX37+$DH$17)  ))   ,$DV37,  "")</f>
        <v/>
      </c>
      <c r="DH37" s="111" t="str">
        <f aca="false">IF(    OR(   AND($C37=10000000,    $A$17&lt;=DH$19,      ($A$17+$DH$17)&gt;DH$19    ),   AND($C37&lt;&gt;10000000,  DH$19&gt;=$DW37,    DH$19&lt;=($DX37+$DH$17)  ))   ,$DV37,  "")</f>
        <v/>
      </c>
      <c r="DI37" s="112" t="str">
        <f aca="false">IF(BB37="","",IF(ISERROR(FIND(CHAR(10),BB37,1)),BB37,LEFT(BB37,FIND(CHAR(10),BB37,1))))</f>
        <v/>
      </c>
      <c r="DJ37" s="53" t="str">
        <f aca="false">IF(BB37="","",IFERROR(RIGHT(BB37,LEN(BB37)-FIND("@@@",SUBSTITUTE(BB37,CHAR(10),"@@@",LEN(BB37)-LEN(SUBSTITUTE(BB37,CHAR(10),""))),1)),BB37))</f>
        <v/>
      </c>
      <c r="DK37" s="53" t="str">
        <f aca="false">IF(BC37="","",IFERROR(RIGHT(BC37,LEN(BC37)-FIND("@@@",SUBSTITUTE(BC37,CHAR(10),"@@@",LEN(BC37)-LEN(SUBSTITUTE(BC37,CHAR(10),""))),1)),BC37))</f>
        <v/>
      </c>
      <c r="DL37" s="113" t="str">
        <f aca="false">IFERROR(DATE(("20"&amp;MID(DI37,7,2))*1,MID(DI37,4,2)*1,MID(DI37,1,2)*1),"none")</f>
        <v>none</v>
      </c>
      <c r="DM37" s="113" t="str">
        <f aca="false">IFERROR(DATE(("20"&amp;MID(DJ37,7,2))*1,MID(DJ37,4,2)*1,MID(DJ37,1,2)*1),"none")</f>
        <v>none</v>
      </c>
      <c r="DN37" s="113" t="n">
        <f aca="false">IF(DL37&lt;&gt;"none",DL37,DATE(1900,1,1))</f>
        <v>2</v>
      </c>
      <c r="DO37" s="113" t="n">
        <f aca="false">IF(DM37&lt;&gt;"none",DM37,DN37)</f>
        <v>2</v>
      </c>
      <c r="DP37" s="114" t="n">
        <f aca="false">_xlfn.DAYS($A$17,DN37)</f>
        <v>45332</v>
      </c>
      <c r="DQ37" s="114" t="n">
        <f aca="false">_xlfn.DAYS($A$17, DO37)</f>
        <v>45332</v>
      </c>
      <c r="DR37" s="51" t="n">
        <f aca="false">IF(DO37&lt;&gt;"",INT(DQ37/7),0)</f>
        <v>6476</v>
      </c>
      <c r="DS37" s="114" t="n">
        <f aca="false">IF(M37="Overdue",_xlfn.DAYS($A$17,AL37),0)</f>
        <v>0</v>
      </c>
      <c r="DT37" s="114" t="n">
        <f aca="false">IF(AH37="Project",_xlfn.DAYS(AL37,$A$17),0)</f>
        <v>0</v>
      </c>
      <c r="DU37" s="51" t="str">
        <f aca="false">IFERROR(INDEX(Static!$D$5:$E$11,MATCH(AH37,Static!$D$5:$D$11,0),2),"")</f>
        <v/>
      </c>
      <c r="DV37" s="51" t="str">
        <f aca="false">IF(C37=10000000,"Red",IF(OR(C37=11000000,C37=12000000),"Black",IF(C37=11100000,"Dark",IF(AND(C37=12100000,M37="Completed"),"Green",IF(AND(C37=12100000,M37="Overdue"),"Red",IF(C37=12100000,"Dark",IF(AND(C37=12110000,M37="Overdue"),"LightRed",IF(AND(C37=12110000,M37="Completed"),"LightGreen",IF(OR(C37=11110000,C37=12110000),"Light",IF(AND(C37=12111000,M37="Overdue"),"SoftRed",IF(AND(C37=12111000,M37="Completed"),"SoftGreen",IF(OR(C37=11111000,C37=12111000),"Grey",""))))))))))))</f>
        <v/>
      </c>
      <c r="DW37" s="49" t="n">
        <f aca="false">IF(AK37&lt;&gt;"",AK37,$BI$19)</f>
        <v>44927</v>
      </c>
      <c r="DX37" s="49" t="n">
        <f aca="false">IF(AL37&lt;&gt;"",AL37,$DH$19)</f>
        <v>45657</v>
      </c>
      <c r="DY37" s="79" t="s">
        <v>450</v>
      </c>
    </row>
    <row r="38" customFormat="false" ht="14.15" hidden="false" customHeight="true" outlineLevel="0" collapsed="false">
      <c r="A38" s="63"/>
      <c r="B38" s="53" t="n">
        <f aca="false">AH38</f>
        <v>0</v>
      </c>
      <c r="C38" s="51" t="n">
        <f aca="false">IFERROR(INDEX(Static!$D$5:$F$11,MATCH(AH38,Static!$D$5:$D$11,0),3),90000000)</f>
        <v>90000000</v>
      </c>
      <c r="D38" s="51" t="str">
        <f aca="false">MID(C38,2,1)</f>
        <v>0</v>
      </c>
      <c r="E38" s="53" t="str">
        <f aca="false">AB38</f>
        <v/>
      </c>
      <c r="F38" s="51" t="str">
        <f aca="false">IF(B38="Venture",0,IF(OR(B38="Project",B38="Stream",B38="Action"),AK38,""))</f>
        <v/>
      </c>
      <c r="G38" s="51" t="n">
        <f aca="false">AS38</f>
        <v>0</v>
      </c>
      <c r="H38" s="51" t="str">
        <f aca="false">IF(B38="Venture",0,IFERROR(INDEX($E$20:$F$55,MATCH(G38,$E$20:$E$55,0),2),""))</f>
        <v/>
      </c>
      <c r="I38" s="51" t="str">
        <f aca="false">IF(B38="Venture",0,IFERROR(INDEX($E$20:$G$55,MATCH(G38,$E$20:$E$55,0),3),""))</f>
        <v/>
      </c>
      <c r="J38" s="51" t="str">
        <f aca="false">IF(B38="Venture",0,IFERROR(INDEX($E$20:$H$55,MATCH(G38,$E$20:$E$55,0),4),""))</f>
        <v/>
      </c>
      <c r="K38" s="51" t="n">
        <f aca="false">IF(B38="Venture",0,IFERROR(INDEX($E$20:$G$55,MATCH(I38,$E$20:$E$55,0),3),""))</f>
        <v>0</v>
      </c>
      <c r="L38" s="51" t="str">
        <f aca="false">IF(M38="Completed","Completed","Ongoing")</f>
        <v>Ongoing</v>
      </c>
      <c r="M38" s="51" t="n">
        <f aca="false">IF(OR(AH38="Venture",AH38="Routine",AH38="Run Goal", AH38="Chg Goal", AH38=""),AH38,IF(AN38&lt;&gt;"","Completed",IF(AM38&lt;&gt;"","Pending",IF(AND(AL38&lt;&gt;"",$A$17&gt;AL38),"Overdue",IF($A$17&gt;AK38,"Started","Open")))))</f>
        <v>0</v>
      </c>
      <c r="N38" s="50" t="n">
        <f aca="false">((LEN($BC38)-LEN(SUBSTITUTE($BC38,CHAR(10)&amp;". ","")))/3)+IF(LEFT(TRIM($BC38),2)=". ",1,0)</f>
        <v>0</v>
      </c>
      <c r="O38" s="50" t="n">
        <f aca="false">((LEN($BC38)-LEN(SUBSTITUTE($BC38,CHAR(10)&amp;"/ ","")))/3)+IF(LEFT(TRIM($BC38),2)="/ ",1,0)</f>
        <v>0</v>
      </c>
      <c r="P38" s="50" t="n">
        <f aca="false">((LEN($BC38)-LEN(SUBSTITUTE($BC38,CHAR(10)&amp;"~ ","")))/3)+IF(LEFT(TRIM($BC38),2)="~ ",1,0)</f>
        <v>0</v>
      </c>
      <c r="Q38" s="50" t="n">
        <f aca="false">((LEN($BC38)-LEN(SUBSTITUTE($BC38,CHAR(10)&amp;"! ","")))/3)+IF(LEFT(TRIM($BC38),2)="! ",1,0)</f>
        <v>0</v>
      </c>
      <c r="R38" s="50" t="n">
        <f aca="false">((LEN($BC38)-LEN(SUBSTITUTE($BC38,CHAR(10)&amp;"x ","")))/3)+IF(LEFT(TRIM($BC38),2)="x ",1,0)</f>
        <v>0</v>
      </c>
      <c r="S38" s="50" t="n">
        <f aca="false">SUM(N38:R38)</f>
        <v>0</v>
      </c>
      <c r="T38" s="51" t="n">
        <f aca="false">IF(OR($B38="Drill",$B38="Action"),$AO38,0)</f>
        <v>0</v>
      </c>
      <c r="U38" s="51" t="n">
        <f aca="false">IF(OR($B38="Sub",$B38="Stream"),$AO38+SUMIFS($AO$20:$AO$55,$G$20:$G$55,$E38),0)</f>
        <v>0</v>
      </c>
      <c r="V38" s="51" t="n">
        <f aca="false">IF(OR($B38="Routine",$B38="Project"),$AO38+SUMIFS($U$20:$U$55,$G$20:$G$55,$E38),0)</f>
        <v>0</v>
      </c>
      <c r="W38" s="51" t="n">
        <f aca="false">IF($B38="Venture",$AO38+SUMIFS($V$20:$V$55,$G$20:$G$55,$E38),0)</f>
        <v>0</v>
      </c>
      <c r="X38" s="51" t="n">
        <f aca="false">IF(OR($B38="Drill",$B38="Action"),$AP38,0)</f>
        <v>0</v>
      </c>
      <c r="Y38" s="51" t="n">
        <f aca="false">IF(OR($B38="Sub",$B38="Stream"),$AP38+SUMIFS($AP$20:$AP$55,$G$20:$G$55,$E38),0)</f>
        <v>0</v>
      </c>
      <c r="Z38" s="51" t="n">
        <f aca="false">IF(OR($B38="Routine",$B38="Project"),$AP38+SUMIFS($Y$20:$Y$55,$G$20:$G$55,$E38),0)</f>
        <v>0</v>
      </c>
      <c r="AA38" s="51" t="n">
        <f aca="false">IF($B38="Venture",$AP38+SUMIFS($Z$20:$Z$55,$G$20:$G$55,$E38),0)</f>
        <v>0</v>
      </c>
      <c r="AB38" s="51" t="str">
        <f aca="false">IF(OR(AH38="Venture", AH38="Run Goal", AH38="Chg Goal"),AI38,AH38&amp;AI38&amp;AR38)</f>
        <v/>
      </c>
      <c r="AC38" s="53" t="str">
        <f aca="false">"  -  "&amp;IF(C38=90000000,9&amp;"Z",D38&amp;AE38&amp;IF(OR(B38="Run Goal",B38="Chg Goal", B38="Venture"),"",IF(OR(B38="Routine",B38="Project"),F38&amp;E38,  IF(OR(B38="Sub",B38="Stream"),H38&amp;G38&amp;F38&amp;E38,IF(OR(B38="Drill",B38="Action"),J38&amp;I38&amp;H38&amp;G38&amp;F38&amp;E38,     "") )    )))</f>
        <v>  -  9Z</v>
      </c>
      <c r="AD38" s="51" t="str">
        <f aca="false">IF(AND(AM38="",AN38=""),"Y","N")</f>
        <v>Y</v>
      </c>
      <c r="AE38" s="103" t="str">
        <f aca="false">IF(OR(AF38="Y",AF38="Y"),AF38,IF(DM38="none","N",IF(DM38&gt;($A$17-WEEKDAY($A$17,2)-(7*$AE$18)),"Y","N")))</f>
        <v>N</v>
      </c>
      <c r="AF38" s="104"/>
      <c r="AG38" s="105"/>
      <c r="AH38" s="79"/>
      <c r="AI38" s="56"/>
      <c r="AJ38" s="56"/>
      <c r="AK38" s="106"/>
      <c r="AL38" s="106"/>
      <c r="AM38" s="106"/>
      <c r="AN38" s="106"/>
      <c r="AO38" s="107"/>
      <c r="AP38" s="107"/>
      <c r="AQ38" s="79"/>
      <c r="AR38" s="79"/>
      <c r="AS38" s="79"/>
      <c r="AT38" s="79"/>
      <c r="AU38" s="79"/>
      <c r="AV38" s="79"/>
      <c r="AW38" s="79"/>
      <c r="AX38" s="79"/>
      <c r="AY38" s="79"/>
      <c r="AZ38" s="79"/>
      <c r="BA38" s="63"/>
      <c r="BB38" s="108"/>
      <c r="BC38" s="63"/>
      <c r="BD38" s="51" t="n">
        <f aca="false">SUM(N38:Q38)</f>
        <v>0</v>
      </c>
      <c r="BE38" s="59" t="n">
        <f aca="false">IF(AI38="",1,IF(S38&lt;&gt;0,(O38*0.5+R38)/S38,1))</f>
        <v>1</v>
      </c>
      <c r="BF38" s="81" t="str">
        <f aca="false">IF(AH38="","",IF(AH38="Venture",W38,IF(OR(AH38="Chg Goal",AH38="RUn Goal"),V38,IF(OR(AH38="ROutine",AH38="Project"),V38,IF(OR(AH38="Sub",AH38="Stream"),U38,IF(OR(AH38="Drill",AH38="Action"),T38,0))))))</f>
        <v/>
      </c>
      <c r="BG38" s="81" t="str">
        <f aca="false">IF(AH38="","",IF(AH38="Venture",AA38,IF(OR(AH38="Chg Goal",AH38="RUn Goal"),Z38,IF(OR(AH38="ROutine",AH38="Project"),Z38,IF(OR(AH38="Sub",AH38="Stream"),Y38,IF(OR(AH38="Drill",AH38="Action"),X38,0))))))</f>
        <v/>
      </c>
      <c r="BH38" s="109" t="str">
        <f aca="false">IF(AI38="","",IF(OR(BF38=0, BF38=""),0,BG38/BF38))</f>
        <v/>
      </c>
      <c r="BI38" s="110" t="str">
        <f aca="false">IF(    OR(   AND($C38=10000000,    BI$19&gt;=$A$17,      BI$19 &lt;($A$17+$DH$17)   ),   AND($C38&lt;&gt;10000000,  BI$19&gt;=$DW38,    BI$19&lt;=($DX38+$DH$17)  ))   ,$DV38,  "")</f>
        <v/>
      </c>
      <c r="BJ38" s="111" t="str">
        <f aca="false">IF(    OR(   AND($C38=10000000,    $A$17&lt;=BJ$19,      ($A$17+$DH$17)&gt;BJ$19    ),   AND($C38&lt;&gt;10000000,  BJ$19&gt;=$DW38,    BJ$19&lt;=($DX38+$DH$17)  ))   ,$DV38,  "")</f>
        <v/>
      </c>
      <c r="BK38" s="111" t="str">
        <f aca="false">IF(    OR(   AND($C38=10000000,    $A$17&lt;=BK$19,      ($A$17+$DH$17)&gt;BK$19    ),   AND($C38&lt;&gt;10000000,  BK$19&gt;=$DW38,    BK$19&lt;=($DX38+$DH$17)  ))   ,$DV38,  "")</f>
        <v/>
      </c>
      <c r="BL38" s="111" t="str">
        <f aca="false">IF(    OR(   AND($C38=10000000,    $A$17&lt;=BL$19,      ($A$17+$DH$17)&gt;BL$19    ),   AND($C38&lt;&gt;10000000,  BL$19&gt;=$DW38,    BL$19&lt;=($DX38+$DH$17)  ))   ,$DV38,  "")</f>
        <v/>
      </c>
      <c r="BM38" s="111" t="str">
        <f aca="false">IF(    OR(   AND($C38=10000000,    $A$17&lt;=BM$19,      ($A$17+$DH$17)&gt;BM$19    ),   AND($C38&lt;&gt;10000000,  BM$19&gt;=$DW38,    BM$19&lt;=($DX38+$DH$17)  ))   ,$DV38,  "")</f>
        <v/>
      </c>
      <c r="BN38" s="111" t="str">
        <f aca="false">IF(    OR(   AND($C38=10000000,    $A$17&lt;=BN$19,      ($A$17+$DH$17)&gt;BN$19    ),   AND($C38&lt;&gt;10000000,  BN$19&gt;=$DW38,    BN$19&lt;=($DX38+$DH$17)  ))   ,$DV38,  "")</f>
        <v/>
      </c>
      <c r="BO38" s="111" t="str">
        <f aca="false">IF(    OR(   AND($C38=10000000,    $A$17&lt;=BO$19,      ($A$17+$DH$17)&gt;BO$19    ),   AND($C38&lt;&gt;10000000,  BO$19&gt;=$DW38,    BO$19&lt;=($DX38+$DH$17)  ))   ,$DV38,  "")</f>
        <v/>
      </c>
      <c r="BP38" s="111" t="str">
        <f aca="false">IF(    OR(   AND($C38=10000000,    $A$17&lt;=BP$19,      ($A$17+$DH$17)&gt;BP$19    ),   AND($C38&lt;&gt;10000000,  BP$19&gt;=$DW38,    BP$19&lt;=($DX38+$DH$17)  ))   ,$DV38,  "")</f>
        <v/>
      </c>
      <c r="BQ38" s="111" t="str">
        <f aca="false">IF(    OR(   AND($C38=10000000,    $A$17&lt;=BQ$19,      ($A$17+$DH$17)&gt;BQ$19    ),   AND($C38&lt;&gt;10000000,  BQ$19&gt;=$DW38,    BQ$19&lt;=($DX38+$DH$17)  ))   ,$DV38,  "")</f>
        <v/>
      </c>
      <c r="BR38" s="111" t="str">
        <f aca="false">IF(    OR(   AND($C38=10000000,    $A$17&lt;=BR$19,      ($A$17+$DH$17)&gt;BR$19    ),   AND($C38&lt;&gt;10000000,  BR$19&gt;=$DW38,    BR$19&lt;=($DX38+$DH$17)  ))   ,$DV38,  "")</f>
        <v/>
      </c>
      <c r="BS38" s="111" t="str">
        <f aca="false">IF(    OR(   AND($C38=10000000,    $A$17&lt;=BS$19,      ($A$17+$DH$17)&gt;BS$19    ),   AND($C38&lt;&gt;10000000,  BS$19&gt;=$DW38,    BS$19&lt;=($DX38+$DH$17)  ))   ,$DV38,  "")</f>
        <v/>
      </c>
      <c r="BT38" s="111" t="str">
        <f aca="false">IF(    OR(   AND($C38=10000000,    $A$17&lt;=BT$19,      ($A$17+$DH$17)&gt;BT$19    ),   AND($C38&lt;&gt;10000000,  BT$19&gt;=$DW38,    BT$19&lt;=($DX38+$DH$17)  ))   ,$DV38,  "")</f>
        <v/>
      </c>
      <c r="BU38" s="111" t="str">
        <f aca="false">IF(    OR(   AND($C38=10000000,    $A$17&lt;=BU$19,      ($A$17+$DH$17)&gt;BU$19    ),   AND($C38&lt;&gt;10000000,  BU$19&gt;=$DW38,    BU$19&lt;=($DX38+$DH$17)  ))   ,$DV38,  "")</f>
        <v/>
      </c>
      <c r="BV38" s="111" t="str">
        <f aca="false">IF(    OR(   AND($C38=10000000,    $A$17&lt;=BV$19,      ($A$17+$DH$17)&gt;BV$19    ),   AND($C38&lt;&gt;10000000,  BV$19&gt;=$DW38,    BV$19&lt;=($DX38+$DH$17)  ))   ,$DV38,  "")</f>
        <v/>
      </c>
      <c r="BW38" s="111" t="str">
        <f aca="false">IF(    OR(   AND($C38=10000000,    $A$17&lt;=BW$19,      ($A$17+$DH$17)&gt;BW$19    ),   AND($C38&lt;&gt;10000000,  BW$19&gt;=$DW38,    BW$19&lt;=($DX38+$DH$17)  ))   ,$DV38,  "")</f>
        <v/>
      </c>
      <c r="BX38" s="111" t="str">
        <f aca="false">IF(    OR(   AND($C38=10000000,    $A$17&lt;=BX$19,      ($A$17+$DH$17)&gt;BX$19    ),   AND($C38&lt;&gt;10000000,  BX$19&gt;=$DW38,    BX$19&lt;=($DX38+$DH$17)  ))   ,$DV38,  "")</f>
        <v/>
      </c>
      <c r="BY38" s="111" t="str">
        <f aca="false">IF(    OR(   AND($C38=10000000,    $A$17&lt;=BY$19,      ($A$17+$DH$17)&gt;BY$19    ),   AND($C38&lt;&gt;10000000,  BY$19&gt;=$DW38,    BY$19&lt;=($DX38+$DH$17)  ))   ,$DV38,  "")</f>
        <v/>
      </c>
      <c r="BZ38" s="111" t="str">
        <f aca="false">IF(    OR(   AND($C38=10000000,    $A$17&lt;=BZ$19,      ($A$17+$DH$17)&gt;BZ$19    ),   AND($C38&lt;&gt;10000000,  BZ$19&gt;=$DW38,    BZ$19&lt;=($DX38+$DH$17)  ))   ,$DV38,  "")</f>
        <v/>
      </c>
      <c r="CA38" s="111" t="str">
        <f aca="false">IF(    OR(   AND($C38=10000000,    $A$17&lt;=CA$19,      ($A$17+$DH$17)&gt;CA$19    ),   AND($C38&lt;&gt;10000000,  CA$19&gt;=$DW38,    CA$19&lt;=($DX38+$DH$17)  ))   ,$DV38,  "")</f>
        <v/>
      </c>
      <c r="CB38" s="111" t="str">
        <f aca="false">IF(    OR(   AND($C38=10000000,    $A$17&lt;=CB$19,      ($A$17+$DH$17)&gt;CB$19    ),   AND($C38&lt;&gt;10000000,  CB$19&gt;=$DW38,    CB$19&lt;=($DX38+$DH$17)  ))   ,$DV38,  "")</f>
        <v/>
      </c>
      <c r="CC38" s="111" t="str">
        <f aca="false">IF(    OR(   AND($C38=10000000,    $A$17&lt;=CC$19,      ($A$17+$DH$17)&gt;CC$19    ),   AND($C38&lt;&gt;10000000,  CC$19&gt;=$DW38,    CC$19&lt;=($DX38+$DH$17)  ))   ,$DV38,  "")</f>
        <v/>
      </c>
      <c r="CD38" s="111" t="str">
        <f aca="false">IF(    OR(   AND($C38=10000000,    $A$17&lt;=CD$19,      ($A$17+$DH$17)&gt;CD$19    ),   AND($C38&lt;&gt;10000000,  CD$19&gt;=$DW38,    CD$19&lt;=($DX38+$DH$17)  ))   ,$DV38,  "")</f>
        <v/>
      </c>
      <c r="CE38" s="111" t="str">
        <f aca="false">IF(    OR(   AND($C38=10000000,    $A$17&lt;=CE$19,      ($A$17+$DH$17)&gt;CE$19    ),   AND($C38&lt;&gt;10000000,  CE$19&gt;=$DW38,    CE$19&lt;=($DX38+$DH$17)  ))   ,$DV38,  "")</f>
        <v/>
      </c>
      <c r="CF38" s="111" t="str">
        <f aca="false">IF(    OR(   AND($C38=10000000,    $A$17&lt;=CF$19,      ($A$17+$DH$17)&gt;CF$19    ),   AND($C38&lt;&gt;10000000,  CF$19&gt;=$DW38,    CF$19&lt;=($DX38+$DH$17)  ))   ,$DV38,  "")</f>
        <v/>
      </c>
      <c r="CG38" s="111" t="str">
        <f aca="false">IF(    OR(   AND($C38=10000000,    $A$17&lt;=CG$19,      ($A$17+$DH$17)&gt;CG$19    ),   AND($C38&lt;&gt;10000000,  CG$19&gt;=$DW38,    CG$19&lt;=($DX38+$DH$17)  ))   ,$DV38,  "")</f>
        <v/>
      </c>
      <c r="CH38" s="111" t="str">
        <f aca="false">IF(    OR(   AND($C38=10000000,    $A$17&lt;=CH$19,      ($A$17+$DH$17)&gt;CH$19    ),   AND($C38&lt;&gt;10000000,  CH$19&gt;=$DW38,    CH$19&lt;=($DX38+$DH$17)  ))   ,$DV38,  "")</f>
        <v/>
      </c>
      <c r="CI38" s="111" t="str">
        <f aca="false">IF(    OR(   AND($C38=10000000,    $A$17&lt;=CI$19,      ($A$17+$DH$17)&gt;CI$19    ),   AND($C38&lt;&gt;10000000,  CI$19&gt;=$DW38,    CI$19&lt;=($DX38+$DH$17)  ))   ,$DV38,  "")</f>
        <v/>
      </c>
      <c r="CJ38" s="111" t="str">
        <f aca="false">IF(    OR(   AND($C38=10000000,    $A$17&lt;=CJ$19,      ($A$17+$DH$17)&gt;CJ$19    ),   AND($C38&lt;&gt;10000000,  CJ$19&gt;=$DW38,    CJ$19&lt;=($DX38+$DH$17)  ))   ,$DV38,  "")</f>
        <v/>
      </c>
      <c r="CK38" s="111" t="str">
        <f aca="false">IF(    OR(   AND($C38=10000000,    $A$17&lt;=CK$19,      ($A$17+$DH$17)&gt;CK$19    ),   AND($C38&lt;&gt;10000000,  CK$19&gt;=$DW38,    CK$19&lt;=($DX38+$DH$17)  ))   ,$DV38,  "")</f>
        <v/>
      </c>
      <c r="CL38" s="111" t="str">
        <f aca="false">IF(    OR(   AND($C38=10000000,    $A$17&lt;=CL$19,      ($A$17+$DH$17)&gt;CL$19    ),   AND($C38&lt;&gt;10000000,  CL$19&gt;=$DW38,    CL$19&lt;=($DX38+$DH$17)  ))   ,$DV38,  "")</f>
        <v/>
      </c>
      <c r="CM38" s="111" t="str">
        <f aca="false">IF(    OR(   AND($C38=10000000,    $A$17&lt;=CM$19,      ($A$17+$DH$17)&gt;CM$19    ),   AND($C38&lt;&gt;10000000,  CM$19&gt;=$DW38,    CM$19&lt;=($DX38+$DH$17)  ))   ,$DV38,  "")</f>
        <v/>
      </c>
      <c r="CN38" s="111" t="str">
        <f aca="false">IF(    OR(   AND($C38=10000000,    $A$17&lt;=CN$19,      ($A$17+$DH$17)&gt;CN$19    ),   AND($C38&lt;&gt;10000000,  CN$19&gt;=$DW38,    CN$19&lt;=($DX38+$DH$17)  ))   ,$DV38,  "")</f>
        <v/>
      </c>
      <c r="CO38" s="111" t="str">
        <f aca="false">IF(    OR(   AND($C38=10000000,    $A$17&lt;=CO$19,      ($A$17+$DH$17)&gt;CO$19    ),   AND($C38&lt;&gt;10000000,  CO$19&gt;=$DW38,    CO$19&lt;=($DX38+$DH$17)  ))   ,$DV38,  "")</f>
        <v/>
      </c>
      <c r="CP38" s="111" t="str">
        <f aca="false">IF(    OR(   AND($C38=10000000,    $A$17&lt;=CP$19,      ($A$17+$DH$17)&gt;CP$19    ),   AND($C38&lt;&gt;10000000,  CP$19&gt;=$DW38,    CP$19&lt;=($DX38+$DH$17)  ))   ,$DV38,  "")</f>
        <v/>
      </c>
      <c r="CQ38" s="111" t="str">
        <f aca="false">IF(    OR(   AND($C38=10000000,    $A$17&lt;=CQ$19,      ($A$17+$DH$17)&gt;CQ$19    ),   AND($C38&lt;&gt;10000000,  CQ$19&gt;=$DW38,    CQ$19&lt;=($DX38+$DH$17)  ))   ,$DV38,  "")</f>
        <v/>
      </c>
      <c r="CR38" s="111" t="str">
        <f aca="false">IF(    OR(   AND($C38=10000000,    $A$17&lt;=CR$19,      ($A$17+$DH$17)&gt;CR$19    ),   AND($C38&lt;&gt;10000000,  CR$19&gt;=$DW38,    CR$19&lt;=($DX38+$DH$17)  ))   ,$DV38,  "")</f>
        <v/>
      </c>
      <c r="CS38" s="111" t="str">
        <f aca="false">IF(    OR(   AND($C38=10000000,    $A$17&lt;=CS$19,      ($A$17+$DH$17)&gt;CS$19    ),   AND($C38&lt;&gt;10000000,  CS$19&gt;=$DW38,    CS$19&lt;=($DX38+$DH$17)  ))   ,$DV38,  "")</f>
        <v/>
      </c>
      <c r="CT38" s="111" t="str">
        <f aca="false">IF(    OR(   AND($C38=10000000,    $A$17&lt;=CT$19,      ($A$17+$DH$17)&gt;CT$19    ),   AND($C38&lt;&gt;10000000,  CT$19&gt;=$DW38,    CT$19&lt;=($DX38+$DH$17)  ))   ,$DV38,  "")</f>
        <v/>
      </c>
      <c r="CU38" s="111" t="str">
        <f aca="false">IF(    OR(   AND($C38=10000000,    $A$17&lt;=CU$19,      ($A$17+$DH$17)&gt;CU$19    ),   AND($C38&lt;&gt;10000000,  CU$19&gt;=$DW38,    CU$19&lt;=($DX38+$DH$17)  ))   ,$DV38,  "")</f>
        <v/>
      </c>
      <c r="CV38" s="111" t="str">
        <f aca="false">IF(    OR(   AND($C38=10000000,    $A$17&lt;=CV$19,      ($A$17+$DH$17)&gt;CV$19    ),   AND($C38&lt;&gt;10000000,  CV$19&gt;=$DW38,    CV$19&lt;=($DX38+$DH$17)  ))   ,$DV38,  "")</f>
        <v/>
      </c>
      <c r="CW38" s="111" t="str">
        <f aca="false">IF(    OR(   AND($C38=10000000,    $A$17&lt;=CW$19,      ($A$17+$DH$17)&gt;CW$19    ),   AND($C38&lt;&gt;10000000,  CW$19&gt;=$DW38,    CW$19&lt;=($DX38+$DH$17)  ))   ,$DV38,  "")</f>
        <v/>
      </c>
      <c r="CX38" s="111" t="str">
        <f aca="false">IF(    OR(   AND($C38=10000000,    $A$17&lt;=CX$19,      ($A$17+$DH$17)&gt;CX$19    ),   AND($C38&lt;&gt;10000000,  CX$19&gt;=$DW38,    CX$19&lt;=($DX38+$DH$17)  ))   ,$DV38,  "")</f>
        <v/>
      </c>
      <c r="CY38" s="111" t="str">
        <f aca="false">IF(    OR(   AND($C38=10000000,    $A$17&lt;=CY$19,      ($A$17+$DH$17)&gt;CY$19    ),   AND($C38&lt;&gt;10000000,  CY$19&gt;=$DW38,    CY$19&lt;=($DX38+$DH$17)  ))   ,$DV38,  "")</f>
        <v/>
      </c>
      <c r="CZ38" s="111" t="str">
        <f aca="false">IF(    OR(   AND($C38=10000000,    $A$17&lt;=CZ$19,      ($A$17+$DH$17)&gt;CZ$19    ),   AND($C38&lt;&gt;10000000,  CZ$19&gt;=$DW38,    CZ$19&lt;=($DX38+$DH$17)  ))   ,$DV38,  "")</f>
        <v/>
      </c>
      <c r="DA38" s="111" t="str">
        <f aca="false">IF(    OR(   AND($C38=10000000,    $A$17&lt;=DA$19,      ($A$17+$DH$17)&gt;DA$19    ),   AND($C38&lt;&gt;10000000,  DA$19&gt;=$DW38,    DA$19&lt;=($DX38+$DH$17)  ))   ,$DV38,  "")</f>
        <v/>
      </c>
      <c r="DB38" s="111" t="str">
        <f aca="false">IF(    OR(   AND($C38=10000000,    $A$17&lt;=DB$19,      ($A$17+$DH$17)&gt;DB$19    ),   AND($C38&lt;&gt;10000000,  DB$19&gt;=$DW38,    DB$19&lt;=($DX38+$DH$17)  ))   ,$DV38,  "")</f>
        <v/>
      </c>
      <c r="DC38" s="111" t="str">
        <f aca="false">IF(    OR(   AND($C38=10000000,    $A$17&lt;=DC$19,      ($A$17+$DH$17)&gt;DC$19    ),   AND($C38&lt;&gt;10000000,  DC$19&gt;=$DW38,    DC$19&lt;=($DX38+$DH$17)  ))   ,$DV38,  "")</f>
        <v/>
      </c>
      <c r="DD38" s="111" t="str">
        <f aca="false">IF(    OR(   AND($C38=10000000,    $A$17&lt;=DD$19,      ($A$17+$DH$17)&gt;DD$19    ),   AND($C38&lt;&gt;10000000,  DD$19&gt;=$DW38,    DD$19&lt;=($DX38+$DH$17)  ))   ,$DV38,  "")</f>
        <v/>
      </c>
      <c r="DE38" s="111" t="str">
        <f aca="false">IF(    OR(   AND($C38=10000000,    $A$17&lt;=DE$19,      ($A$17+$DH$17)&gt;DE$19    ),   AND($C38&lt;&gt;10000000,  DE$19&gt;=$DW38,    DE$19&lt;=($DX38+$DH$17)  ))   ,$DV38,  "")</f>
        <v/>
      </c>
      <c r="DF38" s="111" t="str">
        <f aca="false">IF(    OR(   AND($C38=10000000,    $A$17&lt;=DF$19,      ($A$17+$DH$17)&gt;DF$19    ),   AND($C38&lt;&gt;10000000,  DF$19&gt;=$DW38,    DF$19&lt;=($DX38+$DH$17)  ))   ,$DV38,  "")</f>
        <v/>
      </c>
      <c r="DG38" s="111" t="str">
        <f aca="false">IF(    OR(   AND($C38=10000000,    $A$17&lt;=DG$19,      ($A$17+$DH$17)&gt;DG$19    ),   AND($C38&lt;&gt;10000000,  DG$19&gt;=$DW38,    DG$19&lt;=($DX38+$DH$17)  ))   ,$DV38,  "")</f>
        <v/>
      </c>
      <c r="DH38" s="111" t="str">
        <f aca="false">IF(    OR(   AND($C38=10000000,    $A$17&lt;=DH$19,      ($A$17+$DH$17)&gt;DH$19    ),   AND($C38&lt;&gt;10000000,  DH$19&gt;=$DW38,    DH$19&lt;=($DX38+$DH$17)  ))   ,$DV38,  "")</f>
        <v/>
      </c>
      <c r="DI38" s="112" t="str">
        <f aca="false">IF(BB38="","",IF(ISERROR(FIND(CHAR(10),BB38,1)),BB38,LEFT(BB38,FIND(CHAR(10),BB38,1))))</f>
        <v/>
      </c>
      <c r="DJ38" s="53" t="str">
        <f aca="false">IF(BB38="","",IFERROR(RIGHT(BB38,LEN(BB38)-FIND("@@@",SUBSTITUTE(BB38,CHAR(10),"@@@",LEN(BB38)-LEN(SUBSTITUTE(BB38,CHAR(10),""))),1)),BB38))</f>
        <v/>
      </c>
      <c r="DK38" s="53" t="str">
        <f aca="false">IF(BC38="","",IFERROR(RIGHT(BC38,LEN(BC38)-FIND("@@@",SUBSTITUTE(BC38,CHAR(10),"@@@",LEN(BC38)-LEN(SUBSTITUTE(BC38,CHAR(10),""))),1)),BC38))</f>
        <v/>
      </c>
      <c r="DL38" s="113" t="str">
        <f aca="false">IFERROR(DATE(("20"&amp;MID(DI38,7,2))*1,MID(DI38,4,2)*1,MID(DI38,1,2)*1),"none")</f>
        <v>none</v>
      </c>
      <c r="DM38" s="113" t="str">
        <f aca="false">IFERROR(DATE(("20"&amp;MID(DJ38,7,2))*1,MID(DJ38,4,2)*1,MID(DJ38,1,2)*1),"none")</f>
        <v>none</v>
      </c>
      <c r="DN38" s="113" t="n">
        <f aca="false">IF(DL38&lt;&gt;"none",DL38,DATE(1900,1,1))</f>
        <v>2</v>
      </c>
      <c r="DO38" s="113" t="n">
        <f aca="false">IF(DM38&lt;&gt;"none",DM38,DN38)</f>
        <v>2</v>
      </c>
      <c r="DP38" s="114" t="n">
        <f aca="false">_xlfn.DAYS($A$17,DN38)</f>
        <v>45332</v>
      </c>
      <c r="DQ38" s="114" t="n">
        <f aca="false">_xlfn.DAYS($A$17, DO38)</f>
        <v>45332</v>
      </c>
      <c r="DR38" s="51" t="n">
        <f aca="false">IF(DO38&lt;&gt;"",INT(DQ38/7),0)</f>
        <v>6476</v>
      </c>
      <c r="DS38" s="114" t="n">
        <f aca="false">IF(M38="Overdue",_xlfn.DAYS($A$17,AL38),0)</f>
        <v>0</v>
      </c>
      <c r="DT38" s="114" t="n">
        <f aca="false">IF(AH38="Project",_xlfn.DAYS(AL38,$A$17),0)</f>
        <v>0</v>
      </c>
      <c r="DU38" s="51" t="str">
        <f aca="false">IFERROR(INDEX(Static!$D$5:$E$11,MATCH(AH38,Static!$D$5:$D$11,0),2),"")</f>
        <v/>
      </c>
      <c r="DV38" s="51" t="str">
        <f aca="false">IF(C38=10000000,"Red",IF(OR(C38=11000000,C38=12000000),"Black",IF(C38=11100000,"Dark",IF(AND(C38=12100000,M38="Completed"),"Green",IF(AND(C38=12100000,M38="Overdue"),"Red",IF(C38=12100000,"Dark",IF(AND(C38=12110000,M38="Overdue"),"LightRed",IF(AND(C38=12110000,M38="Completed"),"LightGreen",IF(OR(C38=11110000,C38=12110000),"Light",IF(AND(C38=12111000,M38="Overdue"),"SoftRed",IF(AND(C38=12111000,M38="Completed"),"SoftGreen",IF(OR(C38=11111000,C38=12111000),"Grey",""))))))))))))</f>
        <v/>
      </c>
      <c r="DW38" s="49" t="n">
        <f aca="false">IF(AK38&lt;&gt;"",AK38,$BI$19)</f>
        <v>44927</v>
      </c>
      <c r="DX38" s="49" t="n">
        <f aca="false">IF(AL38&lt;&gt;"",AL38,$DH$19)</f>
        <v>45657</v>
      </c>
      <c r="DY38" s="79" t="s">
        <v>450</v>
      </c>
    </row>
    <row r="39" customFormat="false" ht="14.15" hidden="false" customHeight="true" outlineLevel="0" collapsed="false">
      <c r="A39" s="63"/>
      <c r="B39" s="53" t="n">
        <f aca="false">AH39</f>
        <v>0</v>
      </c>
      <c r="C39" s="51" t="n">
        <f aca="false">IFERROR(INDEX(Static!$D$5:$F$11,MATCH(AH39,Static!$D$5:$D$11,0),3),90000000)</f>
        <v>90000000</v>
      </c>
      <c r="D39" s="51" t="str">
        <f aca="false">MID(C39,2,1)</f>
        <v>0</v>
      </c>
      <c r="E39" s="53" t="str">
        <f aca="false">AB39</f>
        <v/>
      </c>
      <c r="F39" s="51" t="str">
        <f aca="false">IF(B39="Venture",0,IF(OR(B39="Project",B39="Stream",B39="Action"),AK39,""))</f>
        <v/>
      </c>
      <c r="G39" s="51" t="n">
        <f aca="false">AS39</f>
        <v>0</v>
      </c>
      <c r="H39" s="51" t="str">
        <f aca="false">IF(B39="Venture",0,IFERROR(INDEX($E$20:$F$55,MATCH(G39,$E$20:$E$55,0),2),""))</f>
        <v/>
      </c>
      <c r="I39" s="51" t="str">
        <f aca="false">IF(B39="Venture",0,IFERROR(INDEX($E$20:$G$55,MATCH(G39,$E$20:$E$55,0),3),""))</f>
        <v/>
      </c>
      <c r="J39" s="51" t="str">
        <f aca="false">IF(B39="Venture",0,IFERROR(INDEX($E$20:$H$55,MATCH(G39,$E$20:$E$55,0),4),""))</f>
        <v/>
      </c>
      <c r="K39" s="51" t="n">
        <f aca="false">IF(B39="Venture",0,IFERROR(INDEX($E$20:$G$55,MATCH(I39,$E$20:$E$55,0),3),""))</f>
        <v>0</v>
      </c>
      <c r="L39" s="51" t="str">
        <f aca="false">IF(M39="Completed","Completed","Ongoing")</f>
        <v>Ongoing</v>
      </c>
      <c r="M39" s="51" t="n">
        <f aca="false">IF(OR(AH39="Venture",AH39="Routine",AH39="Run Goal", AH39="Chg Goal", AH39=""),AH39,IF(AN39&lt;&gt;"","Completed",IF(AM39&lt;&gt;"","Pending",IF(AND(AL39&lt;&gt;"",$A$17&gt;AL39),"Overdue",IF($A$17&gt;AK39,"Started","Open")))))</f>
        <v>0</v>
      </c>
      <c r="N39" s="50" t="n">
        <f aca="false">((LEN($BC39)-LEN(SUBSTITUTE($BC39,CHAR(10)&amp;". ","")))/3)+IF(LEFT(TRIM($BC39),2)=". ",1,0)</f>
        <v>0</v>
      </c>
      <c r="O39" s="50" t="n">
        <f aca="false">((LEN($BC39)-LEN(SUBSTITUTE($BC39,CHAR(10)&amp;"/ ","")))/3)+IF(LEFT(TRIM($BC39),2)="/ ",1,0)</f>
        <v>0</v>
      </c>
      <c r="P39" s="50" t="n">
        <f aca="false">((LEN($BC39)-LEN(SUBSTITUTE($BC39,CHAR(10)&amp;"~ ","")))/3)+IF(LEFT(TRIM($BC39),2)="~ ",1,0)</f>
        <v>0</v>
      </c>
      <c r="Q39" s="50" t="n">
        <f aca="false">((LEN($BC39)-LEN(SUBSTITUTE($BC39,CHAR(10)&amp;"! ","")))/3)+IF(LEFT(TRIM($BC39),2)="! ",1,0)</f>
        <v>0</v>
      </c>
      <c r="R39" s="50" t="n">
        <f aca="false">((LEN($BC39)-LEN(SUBSTITUTE($BC39,CHAR(10)&amp;"x ","")))/3)+IF(LEFT(TRIM($BC39),2)="x ",1,0)</f>
        <v>0</v>
      </c>
      <c r="S39" s="50" t="n">
        <f aca="false">SUM(N39:R39)</f>
        <v>0</v>
      </c>
      <c r="T39" s="51" t="n">
        <f aca="false">IF(OR($B39="Drill",$B39="Action"),$AO39,0)</f>
        <v>0</v>
      </c>
      <c r="U39" s="51" t="n">
        <f aca="false">IF(OR($B39="Sub",$B39="Stream"),$AO39+SUMIFS($AO$20:$AO$55,$G$20:$G$55,$E39),0)</f>
        <v>0</v>
      </c>
      <c r="V39" s="51" t="n">
        <f aca="false">IF(OR($B39="Routine",$B39="Project"),$AO39+SUMIFS($U$20:$U$55,$G$20:$G$55,$E39),0)</f>
        <v>0</v>
      </c>
      <c r="W39" s="51" t="n">
        <f aca="false">IF($B39="Venture",$AO39+SUMIFS($V$20:$V$55,$G$20:$G$55,$E39),0)</f>
        <v>0</v>
      </c>
      <c r="X39" s="51" t="n">
        <f aca="false">IF(OR($B39="Drill",$B39="Action"),$AP39,0)</f>
        <v>0</v>
      </c>
      <c r="Y39" s="51" t="n">
        <f aca="false">IF(OR($B39="Sub",$B39="Stream"),$AP39+SUMIFS($AP$20:$AP$55,$G$20:$G$55,$E39),0)</f>
        <v>0</v>
      </c>
      <c r="Z39" s="51" t="n">
        <f aca="false">IF(OR($B39="Routine",$B39="Project"),$AP39+SUMIFS($Y$20:$Y$55,$G$20:$G$55,$E39),0)</f>
        <v>0</v>
      </c>
      <c r="AA39" s="51" t="n">
        <f aca="false">IF($B39="Venture",$AP39+SUMIFS($Z$20:$Z$55,$G$20:$G$55,$E39),0)</f>
        <v>0</v>
      </c>
      <c r="AB39" s="51" t="str">
        <f aca="false">IF(OR(AH39="Venture", AH39="Run Goal", AH39="Chg Goal"),AI39,AH39&amp;AI39&amp;AR39)</f>
        <v/>
      </c>
      <c r="AC39" s="53" t="str">
        <f aca="false">"  -  "&amp;IF(C39=90000000,9&amp;"Z",D39&amp;AE39&amp;IF(OR(B39="Run Goal",B39="Chg Goal", B39="Venture"),"",IF(OR(B39="Routine",B39="Project"),F39&amp;E39,  IF(OR(B39="Sub",B39="Stream"),H39&amp;G39&amp;F39&amp;E39,IF(OR(B39="Drill",B39="Action"),J39&amp;I39&amp;H39&amp;G39&amp;F39&amp;E39,     "") )    )))</f>
        <v>  -  9Z</v>
      </c>
      <c r="AD39" s="51" t="str">
        <f aca="false">IF(AND(AM39="",AN39=""),"Y","N")</f>
        <v>Y</v>
      </c>
      <c r="AE39" s="103" t="str">
        <f aca="false">IF(OR(AF39="Y",AF39="Y"),AF39,IF(DM39="none","N",IF(DM39&gt;($A$17-WEEKDAY($A$17,2)-(7*$AE$18)),"Y","N")))</f>
        <v>N</v>
      </c>
      <c r="AF39" s="104"/>
      <c r="AG39" s="105"/>
      <c r="AH39" s="79"/>
      <c r="AI39" s="56"/>
      <c r="AJ39" s="56"/>
      <c r="AK39" s="106"/>
      <c r="AL39" s="106"/>
      <c r="AM39" s="106"/>
      <c r="AN39" s="106"/>
      <c r="AO39" s="107"/>
      <c r="AP39" s="107"/>
      <c r="AQ39" s="79"/>
      <c r="AR39" s="79"/>
      <c r="AS39" s="79"/>
      <c r="AT39" s="79"/>
      <c r="AU39" s="79"/>
      <c r="AV39" s="79"/>
      <c r="AW39" s="79"/>
      <c r="AX39" s="79"/>
      <c r="AY39" s="79"/>
      <c r="AZ39" s="79"/>
      <c r="BA39" s="63"/>
      <c r="BB39" s="108"/>
      <c r="BC39" s="63"/>
      <c r="BD39" s="51" t="n">
        <f aca="false">SUM(N39:Q39)</f>
        <v>0</v>
      </c>
      <c r="BE39" s="59" t="n">
        <f aca="false">IF(AI39="",1,IF(S39&lt;&gt;0,(O39*0.5+R39)/S39,1))</f>
        <v>1</v>
      </c>
      <c r="BF39" s="81" t="str">
        <f aca="false">IF(AH39="","",IF(AH39="Venture",W39,IF(OR(AH39="Chg Goal",AH39="RUn Goal"),V39,IF(OR(AH39="ROutine",AH39="Project"),V39,IF(OR(AH39="Sub",AH39="Stream"),U39,IF(OR(AH39="Drill",AH39="Action"),T39,0))))))</f>
        <v/>
      </c>
      <c r="BG39" s="81" t="str">
        <f aca="false">IF(AH39="","",IF(AH39="Venture",AA39,IF(OR(AH39="Chg Goal",AH39="RUn Goal"),Z39,IF(OR(AH39="ROutine",AH39="Project"),Z39,IF(OR(AH39="Sub",AH39="Stream"),Y39,IF(OR(AH39="Drill",AH39="Action"),X39,0))))))</f>
        <v/>
      </c>
      <c r="BH39" s="109" t="str">
        <f aca="false">IF(AI39="","",IF(OR(BF39=0, BF39=""),0,BG39/BF39))</f>
        <v/>
      </c>
      <c r="BI39" s="110" t="str">
        <f aca="false">IF(    OR(   AND($C39=10000000,    BI$19&gt;=$A$17,      BI$19 &lt;($A$17+$DH$17)   ),   AND($C39&lt;&gt;10000000,  BI$19&gt;=$DW39,    BI$19&lt;=($DX39+$DH$17)  ))   ,$DV39,  "")</f>
        <v/>
      </c>
      <c r="BJ39" s="111" t="str">
        <f aca="false">IF(    OR(   AND($C39=10000000,    $A$17&lt;=BJ$19,      ($A$17+$DH$17)&gt;BJ$19    ),   AND($C39&lt;&gt;10000000,  BJ$19&gt;=$DW39,    BJ$19&lt;=($DX39+$DH$17)  ))   ,$DV39,  "")</f>
        <v/>
      </c>
      <c r="BK39" s="111" t="str">
        <f aca="false">IF(    OR(   AND($C39=10000000,    $A$17&lt;=BK$19,      ($A$17+$DH$17)&gt;BK$19    ),   AND($C39&lt;&gt;10000000,  BK$19&gt;=$DW39,    BK$19&lt;=($DX39+$DH$17)  ))   ,$DV39,  "")</f>
        <v/>
      </c>
      <c r="BL39" s="111" t="str">
        <f aca="false">IF(    OR(   AND($C39=10000000,    $A$17&lt;=BL$19,      ($A$17+$DH$17)&gt;BL$19    ),   AND($C39&lt;&gt;10000000,  BL$19&gt;=$DW39,    BL$19&lt;=($DX39+$DH$17)  ))   ,$DV39,  "")</f>
        <v/>
      </c>
      <c r="BM39" s="111" t="str">
        <f aca="false">IF(    OR(   AND($C39=10000000,    $A$17&lt;=BM$19,      ($A$17+$DH$17)&gt;BM$19    ),   AND($C39&lt;&gt;10000000,  BM$19&gt;=$DW39,    BM$19&lt;=($DX39+$DH$17)  ))   ,$DV39,  "")</f>
        <v/>
      </c>
      <c r="BN39" s="111" t="str">
        <f aca="false">IF(    OR(   AND($C39=10000000,    $A$17&lt;=BN$19,      ($A$17+$DH$17)&gt;BN$19    ),   AND($C39&lt;&gt;10000000,  BN$19&gt;=$DW39,    BN$19&lt;=($DX39+$DH$17)  ))   ,$DV39,  "")</f>
        <v/>
      </c>
      <c r="BO39" s="111" t="str">
        <f aca="false">IF(    OR(   AND($C39=10000000,    $A$17&lt;=BO$19,      ($A$17+$DH$17)&gt;BO$19    ),   AND($C39&lt;&gt;10000000,  BO$19&gt;=$DW39,    BO$19&lt;=($DX39+$DH$17)  ))   ,$DV39,  "")</f>
        <v/>
      </c>
      <c r="BP39" s="111" t="str">
        <f aca="false">IF(    OR(   AND($C39=10000000,    $A$17&lt;=BP$19,      ($A$17+$DH$17)&gt;BP$19    ),   AND($C39&lt;&gt;10000000,  BP$19&gt;=$DW39,    BP$19&lt;=($DX39+$DH$17)  ))   ,$DV39,  "")</f>
        <v/>
      </c>
      <c r="BQ39" s="111" t="str">
        <f aca="false">IF(    OR(   AND($C39=10000000,    $A$17&lt;=BQ$19,      ($A$17+$DH$17)&gt;BQ$19    ),   AND($C39&lt;&gt;10000000,  BQ$19&gt;=$DW39,    BQ$19&lt;=($DX39+$DH$17)  ))   ,$DV39,  "")</f>
        <v/>
      </c>
      <c r="BR39" s="111" t="str">
        <f aca="false">IF(    OR(   AND($C39=10000000,    $A$17&lt;=BR$19,      ($A$17+$DH$17)&gt;BR$19    ),   AND($C39&lt;&gt;10000000,  BR$19&gt;=$DW39,    BR$19&lt;=($DX39+$DH$17)  ))   ,$DV39,  "")</f>
        <v/>
      </c>
      <c r="BS39" s="111" t="str">
        <f aca="false">IF(    OR(   AND($C39=10000000,    $A$17&lt;=BS$19,      ($A$17+$DH$17)&gt;BS$19    ),   AND($C39&lt;&gt;10000000,  BS$19&gt;=$DW39,    BS$19&lt;=($DX39+$DH$17)  ))   ,$DV39,  "")</f>
        <v/>
      </c>
      <c r="BT39" s="111" t="str">
        <f aca="false">IF(    OR(   AND($C39=10000000,    $A$17&lt;=BT$19,      ($A$17+$DH$17)&gt;BT$19    ),   AND($C39&lt;&gt;10000000,  BT$19&gt;=$DW39,    BT$19&lt;=($DX39+$DH$17)  ))   ,$DV39,  "")</f>
        <v/>
      </c>
      <c r="BU39" s="111" t="str">
        <f aca="false">IF(    OR(   AND($C39=10000000,    $A$17&lt;=BU$19,      ($A$17+$DH$17)&gt;BU$19    ),   AND($C39&lt;&gt;10000000,  BU$19&gt;=$DW39,    BU$19&lt;=($DX39+$DH$17)  ))   ,$DV39,  "")</f>
        <v/>
      </c>
      <c r="BV39" s="111" t="str">
        <f aca="false">IF(    OR(   AND($C39=10000000,    $A$17&lt;=BV$19,      ($A$17+$DH$17)&gt;BV$19    ),   AND($C39&lt;&gt;10000000,  BV$19&gt;=$DW39,    BV$19&lt;=($DX39+$DH$17)  ))   ,$DV39,  "")</f>
        <v/>
      </c>
      <c r="BW39" s="111" t="str">
        <f aca="false">IF(    OR(   AND($C39=10000000,    $A$17&lt;=BW$19,      ($A$17+$DH$17)&gt;BW$19    ),   AND($C39&lt;&gt;10000000,  BW$19&gt;=$DW39,    BW$19&lt;=($DX39+$DH$17)  ))   ,$DV39,  "")</f>
        <v/>
      </c>
      <c r="BX39" s="111" t="str">
        <f aca="false">IF(    OR(   AND($C39=10000000,    $A$17&lt;=BX$19,      ($A$17+$DH$17)&gt;BX$19    ),   AND($C39&lt;&gt;10000000,  BX$19&gt;=$DW39,    BX$19&lt;=($DX39+$DH$17)  ))   ,$DV39,  "")</f>
        <v/>
      </c>
      <c r="BY39" s="111" t="str">
        <f aca="false">IF(    OR(   AND($C39=10000000,    $A$17&lt;=BY$19,      ($A$17+$DH$17)&gt;BY$19    ),   AND($C39&lt;&gt;10000000,  BY$19&gt;=$DW39,    BY$19&lt;=($DX39+$DH$17)  ))   ,$DV39,  "")</f>
        <v/>
      </c>
      <c r="BZ39" s="111" t="str">
        <f aca="false">IF(    OR(   AND($C39=10000000,    $A$17&lt;=BZ$19,      ($A$17+$DH$17)&gt;BZ$19    ),   AND($C39&lt;&gt;10000000,  BZ$19&gt;=$DW39,    BZ$19&lt;=($DX39+$DH$17)  ))   ,$DV39,  "")</f>
        <v/>
      </c>
      <c r="CA39" s="111" t="str">
        <f aca="false">IF(    OR(   AND($C39=10000000,    $A$17&lt;=CA$19,      ($A$17+$DH$17)&gt;CA$19    ),   AND($C39&lt;&gt;10000000,  CA$19&gt;=$DW39,    CA$19&lt;=($DX39+$DH$17)  ))   ,$DV39,  "")</f>
        <v/>
      </c>
      <c r="CB39" s="111" t="str">
        <f aca="false">IF(    OR(   AND($C39=10000000,    $A$17&lt;=CB$19,      ($A$17+$DH$17)&gt;CB$19    ),   AND($C39&lt;&gt;10000000,  CB$19&gt;=$DW39,    CB$19&lt;=($DX39+$DH$17)  ))   ,$DV39,  "")</f>
        <v/>
      </c>
      <c r="CC39" s="111" t="str">
        <f aca="false">IF(    OR(   AND($C39=10000000,    $A$17&lt;=CC$19,      ($A$17+$DH$17)&gt;CC$19    ),   AND($C39&lt;&gt;10000000,  CC$19&gt;=$DW39,    CC$19&lt;=($DX39+$DH$17)  ))   ,$DV39,  "")</f>
        <v/>
      </c>
      <c r="CD39" s="111" t="str">
        <f aca="false">IF(    OR(   AND($C39=10000000,    $A$17&lt;=CD$19,      ($A$17+$DH$17)&gt;CD$19    ),   AND($C39&lt;&gt;10000000,  CD$19&gt;=$DW39,    CD$19&lt;=($DX39+$DH$17)  ))   ,$DV39,  "")</f>
        <v/>
      </c>
      <c r="CE39" s="111" t="str">
        <f aca="false">IF(    OR(   AND($C39=10000000,    $A$17&lt;=CE$19,      ($A$17+$DH$17)&gt;CE$19    ),   AND($C39&lt;&gt;10000000,  CE$19&gt;=$DW39,    CE$19&lt;=($DX39+$DH$17)  ))   ,$DV39,  "")</f>
        <v/>
      </c>
      <c r="CF39" s="111" t="str">
        <f aca="false">IF(    OR(   AND($C39=10000000,    $A$17&lt;=CF$19,      ($A$17+$DH$17)&gt;CF$19    ),   AND($C39&lt;&gt;10000000,  CF$19&gt;=$DW39,    CF$19&lt;=($DX39+$DH$17)  ))   ,$DV39,  "")</f>
        <v/>
      </c>
      <c r="CG39" s="111" t="str">
        <f aca="false">IF(    OR(   AND($C39=10000000,    $A$17&lt;=CG$19,      ($A$17+$DH$17)&gt;CG$19    ),   AND($C39&lt;&gt;10000000,  CG$19&gt;=$DW39,    CG$19&lt;=($DX39+$DH$17)  ))   ,$DV39,  "")</f>
        <v/>
      </c>
      <c r="CH39" s="111" t="str">
        <f aca="false">IF(    OR(   AND($C39=10000000,    $A$17&lt;=CH$19,      ($A$17+$DH$17)&gt;CH$19    ),   AND($C39&lt;&gt;10000000,  CH$19&gt;=$DW39,    CH$19&lt;=($DX39+$DH$17)  ))   ,$DV39,  "")</f>
        <v/>
      </c>
      <c r="CI39" s="111" t="str">
        <f aca="false">IF(    OR(   AND($C39=10000000,    $A$17&lt;=CI$19,      ($A$17+$DH$17)&gt;CI$19    ),   AND($C39&lt;&gt;10000000,  CI$19&gt;=$DW39,    CI$19&lt;=($DX39+$DH$17)  ))   ,$DV39,  "")</f>
        <v/>
      </c>
      <c r="CJ39" s="111" t="str">
        <f aca="false">IF(    OR(   AND($C39=10000000,    $A$17&lt;=CJ$19,      ($A$17+$DH$17)&gt;CJ$19    ),   AND($C39&lt;&gt;10000000,  CJ$19&gt;=$DW39,    CJ$19&lt;=($DX39+$DH$17)  ))   ,$DV39,  "")</f>
        <v/>
      </c>
      <c r="CK39" s="111" t="str">
        <f aca="false">IF(    OR(   AND($C39=10000000,    $A$17&lt;=CK$19,      ($A$17+$DH$17)&gt;CK$19    ),   AND($C39&lt;&gt;10000000,  CK$19&gt;=$DW39,    CK$19&lt;=($DX39+$DH$17)  ))   ,$DV39,  "")</f>
        <v/>
      </c>
      <c r="CL39" s="111" t="str">
        <f aca="false">IF(    OR(   AND($C39=10000000,    $A$17&lt;=CL$19,      ($A$17+$DH$17)&gt;CL$19    ),   AND($C39&lt;&gt;10000000,  CL$19&gt;=$DW39,    CL$19&lt;=($DX39+$DH$17)  ))   ,$DV39,  "")</f>
        <v/>
      </c>
      <c r="CM39" s="111" t="str">
        <f aca="false">IF(    OR(   AND($C39=10000000,    $A$17&lt;=CM$19,      ($A$17+$DH$17)&gt;CM$19    ),   AND($C39&lt;&gt;10000000,  CM$19&gt;=$DW39,    CM$19&lt;=($DX39+$DH$17)  ))   ,$DV39,  "")</f>
        <v/>
      </c>
      <c r="CN39" s="111" t="str">
        <f aca="false">IF(    OR(   AND($C39=10000000,    $A$17&lt;=CN$19,      ($A$17+$DH$17)&gt;CN$19    ),   AND($C39&lt;&gt;10000000,  CN$19&gt;=$DW39,    CN$19&lt;=($DX39+$DH$17)  ))   ,$DV39,  "")</f>
        <v/>
      </c>
      <c r="CO39" s="111" t="str">
        <f aca="false">IF(    OR(   AND($C39=10000000,    $A$17&lt;=CO$19,      ($A$17+$DH$17)&gt;CO$19    ),   AND($C39&lt;&gt;10000000,  CO$19&gt;=$DW39,    CO$19&lt;=($DX39+$DH$17)  ))   ,$DV39,  "")</f>
        <v/>
      </c>
      <c r="CP39" s="111" t="str">
        <f aca="false">IF(    OR(   AND($C39=10000000,    $A$17&lt;=CP$19,      ($A$17+$DH$17)&gt;CP$19    ),   AND($C39&lt;&gt;10000000,  CP$19&gt;=$DW39,    CP$19&lt;=($DX39+$DH$17)  ))   ,$DV39,  "")</f>
        <v/>
      </c>
      <c r="CQ39" s="111" t="str">
        <f aca="false">IF(    OR(   AND($C39=10000000,    $A$17&lt;=CQ$19,      ($A$17+$DH$17)&gt;CQ$19    ),   AND($C39&lt;&gt;10000000,  CQ$19&gt;=$DW39,    CQ$19&lt;=($DX39+$DH$17)  ))   ,$DV39,  "")</f>
        <v/>
      </c>
      <c r="CR39" s="111" t="str">
        <f aca="false">IF(    OR(   AND($C39=10000000,    $A$17&lt;=CR$19,      ($A$17+$DH$17)&gt;CR$19    ),   AND($C39&lt;&gt;10000000,  CR$19&gt;=$DW39,    CR$19&lt;=($DX39+$DH$17)  ))   ,$DV39,  "")</f>
        <v/>
      </c>
      <c r="CS39" s="111" t="str">
        <f aca="false">IF(    OR(   AND($C39=10000000,    $A$17&lt;=CS$19,      ($A$17+$DH$17)&gt;CS$19    ),   AND($C39&lt;&gt;10000000,  CS$19&gt;=$DW39,    CS$19&lt;=($DX39+$DH$17)  ))   ,$DV39,  "")</f>
        <v/>
      </c>
      <c r="CT39" s="111" t="str">
        <f aca="false">IF(    OR(   AND($C39=10000000,    $A$17&lt;=CT$19,      ($A$17+$DH$17)&gt;CT$19    ),   AND($C39&lt;&gt;10000000,  CT$19&gt;=$DW39,    CT$19&lt;=($DX39+$DH$17)  ))   ,$DV39,  "")</f>
        <v/>
      </c>
      <c r="CU39" s="111" t="str">
        <f aca="false">IF(    OR(   AND($C39=10000000,    $A$17&lt;=CU$19,      ($A$17+$DH$17)&gt;CU$19    ),   AND($C39&lt;&gt;10000000,  CU$19&gt;=$DW39,    CU$19&lt;=($DX39+$DH$17)  ))   ,$DV39,  "")</f>
        <v/>
      </c>
      <c r="CV39" s="111" t="str">
        <f aca="false">IF(    OR(   AND($C39=10000000,    $A$17&lt;=CV$19,      ($A$17+$DH$17)&gt;CV$19    ),   AND($C39&lt;&gt;10000000,  CV$19&gt;=$DW39,    CV$19&lt;=($DX39+$DH$17)  ))   ,$DV39,  "")</f>
        <v/>
      </c>
      <c r="CW39" s="111" t="str">
        <f aca="false">IF(    OR(   AND($C39=10000000,    $A$17&lt;=CW$19,      ($A$17+$DH$17)&gt;CW$19    ),   AND($C39&lt;&gt;10000000,  CW$19&gt;=$DW39,    CW$19&lt;=($DX39+$DH$17)  ))   ,$DV39,  "")</f>
        <v/>
      </c>
      <c r="CX39" s="111" t="str">
        <f aca="false">IF(    OR(   AND($C39=10000000,    $A$17&lt;=CX$19,      ($A$17+$DH$17)&gt;CX$19    ),   AND($C39&lt;&gt;10000000,  CX$19&gt;=$DW39,    CX$19&lt;=($DX39+$DH$17)  ))   ,$DV39,  "")</f>
        <v/>
      </c>
      <c r="CY39" s="111" t="str">
        <f aca="false">IF(    OR(   AND($C39=10000000,    $A$17&lt;=CY$19,      ($A$17+$DH$17)&gt;CY$19    ),   AND($C39&lt;&gt;10000000,  CY$19&gt;=$DW39,    CY$19&lt;=($DX39+$DH$17)  ))   ,$DV39,  "")</f>
        <v/>
      </c>
      <c r="CZ39" s="111" t="str">
        <f aca="false">IF(    OR(   AND($C39=10000000,    $A$17&lt;=CZ$19,      ($A$17+$DH$17)&gt;CZ$19    ),   AND($C39&lt;&gt;10000000,  CZ$19&gt;=$DW39,    CZ$19&lt;=($DX39+$DH$17)  ))   ,$DV39,  "")</f>
        <v/>
      </c>
      <c r="DA39" s="111" t="str">
        <f aca="false">IF(    OR(   AND($C39=10000000,    $A$17&lt;=DA$19,      ($A$17+$DH$17)&gt;DA$19    ),   AND($C39&lt;&gt;10000000,  DA$19&gt;=$DW39,    DA$19&lt;=($DX39+$DH$17)  ))   ,$DV39,  "")</f>
        <v/>
      </c>
      <c r="DB39" s="111" t="str">
        <f aca="false">IF(    OR(   AND($C39=10000000,    $A$17&lt;=DB$19,      ($A$17+$DH$17)&gt;DB$19    ),   AND($C39&lt;&gt;10000000,  DB$19&gt;=$DW39,    DB$19&lt;=($DX39+$DH$17)  ))   ,$DV39,  "")</f>
        <v/>
      </c>
      <c r="DC39" s="111" t="str">
        <f aca="false">IF(    OR(   AND($C39=10000000,    $A$17&lt;=DC$19,      ($A$17+$DH$17)&gt;DC$19    ),   AND($C39&lt;&gt;10000000,  DC$19&gt;=$DW39,    DC$19&lt;=($DX39+$DH$17)  ))   ,$DV39,  "")</f>
        <v/>
      </c>
      <c r="DD39" s="111" t="str">
        <f aca="false">IF(    OR(   AND($C39=10000000,    $A$17&lt;=DD$19,      ($A$17+$DH$17)&gt;DD$19    ),   AND($C39&lt;&gt;10000000,  DD$19&gt;=$DW39,    DD$19&lt;=($DX39+$DH$17)  ))   ,$DV39,  "")</f>
        <v/>
      </c>
      <c r="DE39" s="111" t="str">
        <f aca="false">IF(    OR(   AND($C39=10000000,    $A$17&lt;=DE$19,      ($A$17+$DH$17)&gt;DE$19    ),   AND($C39&lt;&gt;10000000,  DE$19&gt;=$DW39,    DE$19&lt;=($DX39+$DH$17)  ))   ,$DV39,  "")</f>
        <v/>
      </c>
      <c r="DF39" s="111" t="str">
        <f aca="false">IF(    OR(   AND($C39=10000000,    $A$17&lt;=DF$19,      ($A$17+$DH$17)&gt;DF$19    ),   AND($C39&lt;&gt;10000000,  DF$19&gt;=$DW39,    DF$19&lt;=($DX39+$DH$17)  ))   ,$DV39,  "")</f>
        <v/>
      </c>
      <c r="DG39" s="111" t="str">
        <f aca="false">IF(    OR(   AND($C39=10000000,    $A$17&lt;=DG$19,      ($A$17+$DH$17)&gt;DG$19    ),   AND($C39&lt;&gt;10000000,  DG$19&gt;=$DW39,    DG$19&lt;=($DX39+$DH$17)  ))   ,$DV39,  "")</f>
        <v/>
      </c>
      <c r="DH39" s="111" t="str">
        <f aca="false">IF(    OR(   AND($C39=10000000,    $A$17&lt;=DH$19,      ($A$17+$DH$17)&gt;DH$19    ),   AND($C39&lt;&gt;10000000,  DH$19&gt;=$DW39,    DH$19&lt;=($DX39+$DH$17)  ))   ,$DV39,  "")</f>
        <v/>
      </c>
      <c r="DI39" s="112" t="str">
        <f aca="false">IF(BB39="","",IF(ISERROR(FIND(CHAR(10),BB39,1)),BB39,LEFT(BB39,FIND(CHAR(10),BB39,1))))</f>
        <v/>
      </c>
      <c r="DJ39" s="53" t="str">
        <f aca="false">IF(BB39="","",IFERROR(RIGHT(BB39,LEN(BB39)-FIND("@@@",SUBSTITUTE(BB39,CHAR(10),"@@@",LEN(BB39)-LEN(SUBSTITUTE(BB39,CHAR(10),""))),1)),BB39))</f>
        <v/>
      </c>
      <c r="DK39" s="53" t="str">
        <f aca="false">IF(BC39="","",IFERROR(RIGHT(BC39,LEN(BC39)-FIND("@@@",SUBSTITUTE(BC39,CHAR(10),"@@@",LEN(BC39)-LEN(SUBSTITUTE(BC39,CHAR(10),""))),1)),BC39))</f>
        <v/>
      </c>
      <c r="DL39" s="113" t="str">
        <f aca="false">IFERROR(DATE(("20"&amp;MID(DI39,7,2))*1,MID(DI39,4,2)*1,MID(DI39,1,2)*1),"none")</f>
        <v>none</v>
      </c>
      <c r="DM39" s="113" t="str">
        <f aca="false">IFERROR(DATE(("20"&amp;MID(DJ39,7,2))*1,MID(DJ39,4,2)*1,MID(DJ39,1,2)*1),"none")</f>
        <v>none</v>
      </c>
      <c r="DN39" s="113" t="n">
        <f aca="false">IF(DL39&lt;&gt;"none",DL39,DATE(1900,1,1))</f>
        <v>2</v>
      </c>
      <c r="DO39" s="113" t="n">
        <f aca="false">IF(DM39&lt;&gt;"none",DM39,DN39)</f>
        <v>2</v>
      </c>
      <c r="DP39" s="114" t="n">
        <f aca="false">_xlfn.DAYS($A$17,DN39)</f>
        <v>45332</v>
      </c>
      <c r="DQ39" s="114" t="n">
        <f aca="false">_xlfn.DAYS($A$17, DO39)</f>
        <v>45332</v>
      </c>
      <c r="DR39" s="51" t="n">
        <f aca="false">IF(DO39&lt;&gt;"",INT(DQ39/7),0)</f>
        <v>6476</v>
      </c>
      <c r="DS39" s="114" t="n">
        <f aca="false">IF(M39="Overdue",_xlfn.DAYS($A$17,AL39),0)</f>
        <v>0</v>
      </c>
      <c r="DT39" s="114" t="n">
        <f aca="false">IF(AH39="Project",_xlfn.DAYS(AL39,$A$17),0)</f>
        <v>0</v>
      </c>
      <c r="DU39" s="51" t="str">
        <f aca="false">IFERROR(INDEX(Static!$D$5:$E$11,MATCH(AH39,Static!$D$5:$D$11,0),2),"")</f>
        <v/>
      </c>
      <c r="DV39" s="51" t="str">
        <f aca="false">IF(C39=10000000,"Red",IF(OR(C39=11000000,C39=12000000),"Black",IF(C39=11100000,"Dark",IF(AND(C39=12100000,M39="Completed"),"Green",IF(AND(C39=12100000,M39="Overdue"),"Red",IF(C39=12100000,"Dark",IF(AND(C39=12110000,M39="Overdue"),"LightRed",IF(AND(C39=12110000,M39="Completed"),"LightGreen",IF(OR(C39=11110000,C39=12110000),"Light",IF(AND(C39=12111000,M39="Overdue"),"SoftRed",IF(AND(C39=12111000,M39="Completed"),"SoftGreen",IF(OR(C39=11111000,C39=12111000),"Grey",""))))))))))))</f>
        <v/>
      </c>
      <c r="DW39" s="49" t="n">
        <f aca="false">IF(AK39&lt;&gt;"",AK39,$BI$19)</f>
        <v>44927</v>
      </c>
      <c r="DX39" s="49" t="n">
        <f aca="false">IF(AL39&lt;&gt;"",AL39,$DH$19)</f>
        <v>45657</v>
      </c>
      <c r="DY39" s="79" t="s">
        <v>450</v>
      </c>
    </row>
    <row r="40" customFormat="false" ht="14.15" hidden="false" customHeight="true" outlineLevel="0" collapsed="false">
      <c r="A40" s="63"/>
      <c r="B40" s="53" t="n">
        <f aca="false">AH40</f>
        <v>0</v>
      </c>
      <c r="C40" s="51" t="n">
        <f aca="false">IFERROR(INDEX(Static!$D$5:$F$11,MATCH(AH40,Static!$D$5:$D$11,0),3),90000000)</f>
        <v>90000000</v>
      </c>
      <c r="D40" s="51" t="str">
        <f aca="false">MID(C40,2,1)</f>
        <v>0</v>
      </c>
      <c r="E40" s="53" t="str">
        <f aca="false">AB40</f>
        <v/>
      </c>
      <c r="F40" s="51" t="str">
        <f aca="false">IF(B40="Venture",0,IF(OR(B40="Project",B40="Stream",B40="Action"),AK40,""))</f>
        <v/>
      </c>
      <c r="G40" s="51" t="n">
        <f aca="false">AS40</f>
        <v>0</v>
      </c>
      <c r="H40" s="51" t="str">
        <f aca="false">IF(B40="Venture",0,IFERROR(INDEX($E$20:$F$55,MATCH(G40,$E$20:$E$55,0),2),""))</f>
        <v/>
      </c>
      <c r="I40" s="51" t="str">
        <f aca="false">IF(B40="Venture",0,IFERROR(INDEX($E$20:$G$55,MATCH(G40,$E$20:$E$55,0),3),""))</f>
        <v/>
      </c>
      <c r="J40" s="51" t="str">
        <f aca="false">IF(B40="Venture",0,IFERROR(INDEX($E$20:$H$55,MATCH(G40,$E$20:$E$55,0),4),""))</f>
        <v/>
      </c>
      <c r="K40" s="51" t="n">
        <f aca="false">IF(B40="Venture",0,IFERROR(INDEX($E$20:$G$55,MATCH(I40,$E$20:$E$55,0),3),""))</f>
        <v>0</v>
      </c>
      <c r="L40" s="51" t="str">
        <f aca="false">IF(M40="Completed","Completed","Ongoing")</f>
        <v>Ongoing</v>
      </c>
      <c r="M40" s="51" t="n">
        <f aca="false">IF(OR(AH40="Venture",AH40="Routine",AH40="Run Goal", AH40="Chg Goal", AH40=""),AH40,IF(AN40&lt;&gt;"","Completed",IF(AM40&lt;&gt;"","Pending",IF(AND(AL40&lt;&gt;"",$A$17&gt;AL40),"Overdue",IF($A$17&gt;AK40,"Started","Open")))))</f>
        <v>0</v>
      </c>
      <c r="N40" s="50" t="n">
        <f aca="false">((LEN($BC40)-LEN(SUBSTITUTE($BC40,CHAR(10)&amp;". ","")))/3)+IF(LEFT(TRIM($BC40),2)=". ",1,0)</f>
        <v>0</v>
      </c>
      <c r="O40" s="50" t="n">
        <f aca="false">((LEN($BC40)-LEN(SUBSTITUTE($BC40,CHAR(10)&amp;"/ ","")))/3)+IF(LEFT(TRIM($BC40),2)="/ ",1,0)</f>
        <v>0</v>
      </c>
      <c r="P40" s="50" t="n">
        <f aca="false">((LEN($BC40)-LEN(SUBSTITUTE($BC40,CHAR(10)&amp;"~ ","")))/3)+IF(LEFT(TRIM($BC40),2)="~ ",1,0)</f>
        <v>0</v>
      </c>
      <c r="Q40" s="50" t="n">
        <f aca="false">((LEN($BC40)-LEN(SUBSTITUTE($BC40,CHAR(10)&amp;"! ","")))/3)+IF(LEFT(TRIM($BC40),2)="! ",1,0)</f>
        <v>0</v>
      </c>
      <c r="R40" s="50" t="n">
        <f aca="false">((LEN($BC40)-LEN(SUBSTITUTE($BC40,CHAR(10)&amp;"x ","")))/3)+IF(LEFT(TRIM($BC40),2)="x ",1,0)</f>
        <v>0</v>
      </c>
      <c r="S40" s="50" t="n">
        <f aca="false">SUM(N40:R40)</f>
        <v>0</v>
      </c>
      <c r="T40" s="51" t="n">
        <f aca="false">IF(OR($B40="Drill",$B40="Action"),$AO40,0)</f>
        <v>0</v>
      </c>
      <c r="U40" s="51" t="n">
        <f aca="false">IF(OR($B40="Sub",$B40="Stream"),$AO40+SUMIFS($AO$20:$AO$55,$G$20:$G$55,$E40),0)</f>
        <v>0</v>
      </c>
      <c r="V40" s="51" t="n">
        <f aca="false">IF(OR($B40="Routine",$B40="Project"),$AO40+SUMIFS($U$20:$U$55,$G$20:$G$55,$E40),0)</f>
        <v>0</v>
      </c>
      <c r="W40" s="51" t="n">
        <f aca="false">IF($B40="Venture",$AO40+SUMIFS($V$20:$V$55,$G$20:$G$55,$E40),0)</f>
        <v>0</v>
      </c>
      <c r="X40" s="51" t="n">
        <f aca="false">IF(OR($B40="Drill",$B40="Action"),$AP40,0)</f>
        <v>0</v>
      </c>
      <c r="Y40" s="51" t="n">
        <f aca="false">IF(OR($B40="Sub",$B40="Stream"),$AP40+SUMIFS($AP$20:$AP$55,$G$20:$G$55,$E40),0)</f>
        <v>0</v>
      </c>
      <c r="Z40" s="51" t="n">
        <f aca="false">IF(OR($B40="Routine",$B40="Project"),$AP40+SUMIFS($Y$20:$Y$55,$G$20:$G$55,$E40),0)</f>
        <v>0</v>
      </c>
      <c r="AA40" s="51" t="n">
        <f aca="false">IF($B40="Venture",$AP40+SUMIFS($Z$20:$Z$55,$G$20:$G$55,$E40),0)</f>
        <v>0</v>
      </c>
      <c r="AB40" s="51" t="str">
        <f aca="false">IF(OR(AH40="Venture", AH40="Run Goal", AH40="Chg Goal"),AI40,AH40&amp;AI40&amp;AR40)</f>
        <v/>
      </c>
      <c r="AC40" s="53" t="str">
        <f aca="false">"  -  "&amp;IF(C40=90000000,9&amp;"Z",D40&amp;AE40&amp;IF(OR(B40="Run Goal",B40="Chg Goal", B40="Venture"),"",IF(OR(B40="Routine",B40="Project"),F40&amp;E40,  IF(OR(B40="Sub",B40="Stream"),H40&amp;G40&amp;F40&amp;E40,IF(OR(B40="Drill",B40="Action"),J40&amp;I40&amp;H40&amp;G40&amp;F40&amp;E40,     "") )    )))</f>
        <v>  -  9Z</v>
      </c>
      <c r="AD40" s="51" t="str">
        <f aca="false">IF(AND(AM40="",AN40=""),"Y","N")</f>
        <v>Y</v>
      </c>
      <c r="AE40" s="103" t="str">
        <f aca="false">IF(OR(AF40="Y",AF40="Y"),AF40,IF(DM40="none","N",IF(DM40&gt;($A$17-WEEKDAY($A$17,2)-(7*$AE$18)),"Y","N")))</f>
        <v>N</v>
      </c>
      <c r="AF40" s="104"/>
      <c r="AG40" s="105"/>
      <c r="AH40" s="79"/>
      <c r="AI40" s="56"/>
      <c r="AJ40" s="56"/>
      <c r="AK40" s="106"/>
      <c r="AL40" s="106"/>
      <c r="AM40" s="106"/>
      <c r="AN40" s="106"/>
      <c r="AO40" s="107"/>
      <c r="AP40" s="107"/>
      <c r="AQ40" s="79"/>
      <c r="AR40" s="79"/>
      <c r="AS40" s="79"/>
      <c r="AT40" s="79"/>
      <c r="AU40" s="79"/>
      <c r="AV40" s="79"/>
      <c r="AW40" s="79"/>
      <c r="AX40" s="79"/>
      <c r="AY40" s="79"/>
      <c r="AZ40" s="79"/>
      <c r="BA40" s="63"/>
      <c r="BB40" s="108"/>
      <c r="BC40" s="63"/>
      <c r="BD40" s="51" t="n">
        <f aca="false">SUM(N40:Q40)</f>
        <v>0</v>
      </c>
      <c r="BE40" s="59" t="n">
        <f aca="false">IF(AI40="",1,IF(S40&lt;&gt;0,(O40*0.5+R40)/S40,1))</f>
        <v>1</v>
      </c>
      <c r="BF40" s="81" t="str">
        <f aca="false">IF(AH40="","",IF(AH40="Venture",W40,IF(OR(AH40="Chg Goal",AH40="RUn Goal"),V40,IF(OR(AH40="ROutine",AH40="Project"),V40,IF(OR(AH40="Sub",AH40="Stream"),U40,IF(OR(AH40="Drill",AH40="Action"),T40,0))))))</f>
        <v/>
      </c>
      <c r="BG40" s="81" t="str">
        <f aca="false">IF(AH40="","",IF(AH40="Venture",AA40,IF(OR(AH40="Chg Goal",AH40="RUn Goal"),Z40,IF(OR(AH40="ROutine",AH40="Project"),Z40,IF(OR(AH40="Sub",AH40="Stream"),Y40,IF(OR(AH40="Drill",AH40="Action"),X40,0))))))</f>
        <v/>
      </c>
      <c r="BH40" s="109" t="str">
        <f aca="false">IF(AI40="","",IF(OR(BF40=0, BF40=""),0,BG40/BF40))</f>
        <v/>
      </c>
      <c r="BI40" s="110" t="str">
        <f aca="false">IF(    OR(   AND($C40=10000000,    BI$19&gt;=$A$17,      BI$19 &lt;($A$17+$DH$17)   ),   AND($C40&lt;&gt;10000000,  BI$19&gt;=$DW40,    BI$19&lt;=($DX40+$DH$17)  ))   ,$DV40,  "")</f>
        <v/>
      </c>
      <c r="BJ40" s="111" t="str">
        <f aca="false">IF(    OR(   AND($C40=10000000,    $A$17&lt;=BJ$19,      ($A$17+$DH$17)&gt;BJ$19    ),   AND($C40&lt;&gt;10000000,  BJ$19&gt;=$DW40,    BJ$19&lt;=($DX40+$DH$17)  ))   ,$DV40,  "")</f>
        <v/>
      </c>
      <c r="BK40" s="111" t="str">
        <f aca="false">IF(    OR(   AND($C40=10000000,    $A$17&lt;=BK$19,      ($A$17+$DH$17)&gt;BK$19    ),   AND($C40&lt;&gt;10000000,  BK$19&gt;=$DW40,    BK$19&lt;=($DX40+$DH$17)  ))   ,$DV40,  "")</f>
        <v/>
      </c>
      <c r="BL40" s="111" t="str">
        <f aca="false">IF(    OR(   AND($C40=10000000,    $A$17&lt;=BL$19,      ($A$17+$DH$17)&gt;BL$19    ),   AND($C40&lt;&gt;10000000,  BL$19&gt;=$DW40,    BL$19&lt;=($DX40+$DH$17)  ))   ,$DV40,  "")</f>
        <v/>
      </c>
      <c r="BM40" s="111" t="str">
        <f aca="false">IF(    OR(   AND($C40=10000000,    $A$17&lt;=BM$19,      ($A$17+$DH$17)&gt;BM$19    ),   AND($C40&lt;&gt;10000000,  BM$19&gt;=$DW40,    BM$19&lt;=($DX40+$DH$17)  ))   ,$DV40,  "")</f>
        <v/>
      </c>
      <c r="BN40" s="111" t="str">
        <f aca="false">IF(    OR(   AND($C40=10000000,    $A$17&lt;=BN$19,      ($A$17+$DH$17)&gt;BN$19    ),   AND($C40&lt;&gt;10000000,  BN$19&gt;=$DW40,    BN$19&lt;=($DX40+$DH$17)  ))   ,$DV40,  "")</f>
        <v/>
      </c>
      <c r="BO40" s="111" t="str">
        <f aca="false">IF(    OR(   AND($C40=10000000,    $A$17&lt;=BO$19,      ($A$17+$DH$17)&gt;BO$19    ),   AND($C40&lt;&gt;10000000,  BO$19&gt;=$DW40,    BO$19&lt;=($DX40+$DH$17)  ))   ,$DV40,  "")</f>
        <v/>
      </c>
      <c r="BP40" s="111" t="str">
        <f aca="false">IF(    OR(   AND($C40=10000000,    $A$17&lt;=BP$19,      ($A$17+$DH$17)&gt;BP$19    ),   AND($C40&lt;&gt;10000000,  BP$19&gt;=$DW40,    BP$19&lt;=($DX40+$DH$17)  ))   ,$DV40,  "")</f>
        <v/>
      </c>
      <c r="BQ40" s="111" t="str">
        <f aca="false">IF(    OR(   AND($C40=10000000,    $A$17&lt;=BQ$19,      ($A$17+$DH$17)&gt;BQ$19    ),   AND($C40&lt;&gt;10000000,  BQ$19&gt;=$DW40,    BQ$19&lt;=($DX40+$DH$17)  ))   ,$DV40,  "")</f>
        <v/>
      </c>
      <c r="BR40" s="111" t="str">
        <f aca="false">IF(    OR(   AND($C40=10000000,    $A$17&lt;=BR$19,      ($A$17+$DH$17)&gt;BR$19    ),   AND($C40&lt;&gt;10000000,  BR$19&gt;=$DW40,    BR$19&lt;=($DX40+$DH$17)  ))   ,$DV40,  "")</f>
        <v/>
      </c>
      <c r="BS40" s="111" t="str">
        <f aca="false">IF(    OR(   AND($C40=10000000,    $A$17&lt;=BS$19,      ($A$17+$DH$17)&gt;BS$19    ),   AND($C40&lt;&gt;10000000,  BS$19&gt;=$DW40,    BS$19&lt;=($DX40+$DH$17)  ))   ,$DV40,  "")</f>
        <v/>
      </c>
      <c r="BT40" s="111" t="str">
        <f aca="false">IF(    OR(   AND($C40=10000000,    $A$17&lt;=BT$19,      ($A$17+$DH$17)&gt;BT$19    ),   AND($C40&lt;&gt;10000000,  BT$19&gt;=$DW40,    BT$19&lt;=($DX40+$DH$17)  ))   ,$DV40,  "")</f>
        <v/>
      </c>
      <c r="BU40" s="111" t="str">
        <f aca="false">IF(    OR(   AND($C40=10000000,    $A$17&lt;=BU$19,      ($A$17+$DH$17)&gt;BU$19    ),   AND($C40&lt;&gt;10000000,  BU$19&gt;=$DW40,    BU$19&lt;=($DX40+$DH$17)  ))   ,$DV40,  "")</f>
        <v/>
      </c>
      <c r="BV40" s="111" t="str">
        <f aca="false">IF(    OR(   AND($C40=10000000,    $A$17&lt;=BV$19,      ($A$17+$DH$17)&gt;BV$19    ),   AND($C40&lt;&gt;10000000,  BV$19&gt;=$DW40,    BV$19&lt;=($DX40+$DH$17)  ))   ,$DV40,  "")</f>
        <v/>
      </c>
      <c r="BW40" s="111" t="str">
        <f aca="false">IF(    OR(   AND($C40=10000000,    $A$17&lt;=BW$19,      ($A$17+$DH$17)&gt;BW$19    ),   AND($C40&lt;&gt;10000000,  BW$19&gt;=$DW40,    BW$19&lt;=($DX40+$DH$17)  ))   ,$DV40,  "")</f>
        <v/>
      </c>
      <c r="BX40" s="111" t="str">
        <f aca="false">IF(    OR(   AND($C40=10000000,    $A$17&lt;=BX$19,      ($A$17+$DH$17)&gt;BX$19    ),   AND($C40&lt;&gt;10000000,  BX$19&gt;=$DW40,    BX$19&lt;=($DX40+$DH$17)  ))   ,$DV40,  "")</f>
        <v/>
      </c>
      <c r="BY40" s="111" t="str">
        <f aca="false">IF(    OR(   AND($C40=10000000,    $A$17&lt;=BY$19,      ($A$17+$DH$17)&gt;BY$19    ),   AND($C40&lt;&gt;10000000,  BY$19&gt;=$DW40,    BY$19&lt;=($DX40+$DH$17)  ))   ,$DV40,  "")</f>
        <v/>
      </c>
      <c r="BZ40" s="111" t="str">
        <f aca="false">IF(    OR(   AND($C40=10000000,    $A$17&lt;=BZ$19,      ($A$17+$DH$17)&gt;BZ$19    ),   AND($C40&lt;&gt;10000000,  BZ$19&gt;=$DW40,    BZ$19&lt;=($DX40+$DH$17)  ))   ,$DV40,  "")</f>
        <v/>
      </c>
      <c r="CA40" s="111" t="str">
        <f aca="false">IF(    OR(   AND($C40=10000000,    $A$17&lt;=CA$19,      ($A$17+$DH$17)&gt;CA$19    ),   AND($C40&lt;&gt;10000000,  CA$19&gt;=$DW40,    CA$19&lt;=($DX40+$DH$17)  ))   ,$DV40,  "")</f>
        <v/>
      </c>
      <c r="CB40" s="111" t="str">
        <f aca="false">IF(    OR(   AND($C40=10000000,    $A$17&lt;=CB$19,      ($A$17+$DH$17)&gt;CB$19    ),   AND($C40&lt;&gt;10000000,  CB$19&gt;=$DW40,    CB$19&lt;=($DX40+$DH$17)  ))   ,$DV40,  "")</f>
        <v/>
      </c>
      <c r="CC40" s="111" t="str">
        <f aca="false">IF(    OR(   AND($C40=10000000,    $A$17&lt;=CC$19,      ($A$17+$DH$17)&gt;CC$19    ),   AND($C40&lt;&gt;10000000,  CC$19&gt;=$DW40,    CC$19&lt;=($DX40+$DH$17)  ))   ,$DV40,  "")</f>
        <v/>
      </c>
      <c r="CD40" s="111" t="str">
        <f aca="false">IF(    OR(   AND($C40=10000000,    $A$17&lt;=CD$19,      ($A$17+$DH$17)&gt;CD$19    ),   AND($C40&lt;&gt;10000000,  CD$19&gt;=$DW40,    CD$19&lt;=($DX40+$DH$17)  ))   ,$DV40,  "")</f>
        <v/>
      </c>
      <c r="CE40" s="111" t="str">
        <f aca="false">IF(    OR(   AND($C40=10000000,    $A$17&lt;=CE$19,      ($A$17+$DH$17)&gt;CE$19    ),   AND($C40&lt;&gt;10000000,  CE$19&gt;=$DW40,    CE$19&lt;=($DX40+$DH$17)  ))   ,$DV40,  "")</f>
        <v/>
      </c>
      <c r="CF40" s="111" t="str">
        <f aca="false">IF(    OR(   AND($C40=10000000,    $A$17&lt;=CF$19,      ($A$17+$DH$17)&gt;CF$19    ),   AND($C40&lt;&gt;10000000,  CF$19&gt;=$DW40,    CF$19&lt;=($DX40+$DH$17)  ))   ,$DV40,  "")</f>
        <v/>
      </c>
      <c r="CG40" s="111" t="str">
        <f aca="false">IF(    OR(   AND($C40=10000000,    $A$17&lt;=CG$19,      ($A$17+$DH$17)&gt;CG$19    ),   AND($C40&lt;&gt;10000000,  CG$19&gt;=$DW40,    CG$19&lt;=($DX40+$DH$17)  ))   ,$DV40,  "")</f>
        <v/>
      </c>
      <c r="CH40" s="111" t="str">
        <f aca="false">IF(    OR(   AND($C40=10000000,    $A$17&lt;=CH$19,      ($A$17+$DH$17)&gt;CH$19    ),   AND($C40&lt;&gt;10000000,  CH$19&gt;=$DW40,    CH$19&lt;=($DX40+$DH$17)  ))   ,$DV40,  "")</f>
        <v/>
      </c>
      <c r="CI40" s="111" t="str">
        <f aca="false">IF(    OR(   AND($C40=10000000,    $A$17&lt;=CI$19,      ($A$17+$DH$17)&gt;CI$19    ),   AND($C40&lt;&gt;10000000,  CI$19&gt;=$DW40,    CI$19&lt;=($DX40+$DH$17)  ))   ,$DV40,  "")</f>
        <v/>
      </c>
      <c r="CJ40" s="111" t="str">
        <f aca="false">IF(    OR(   AND($C40=10000000,    $A$17&lt;=CJ$19,      ($A$17+$DH$17)&gt;CJ$19    ),   AND($C40&lt;&gt;10000000,  CJ$19&gt;=$DW40,    CJ$19&lt;=($DX40+$DH$17)  ))   ,$DV40,  "")</f>
        <v/>
      </c>
      <c r="CK40" s="111" t="str">
        <f aca="false">IF(    OR(   AND($C40=10000000,    $A$17&lt;=CK$19,      ($A$17+$DH$17)&gt;CK$19    ),   AND($C40&lt;&gt;10000000,  CK$19&gt;=$DW40,    CK$19&lt;=($DX40+$DH$17)  ))   ,$DV40,  "")</f>
        <v/>
      </c>
      <c r="CL40" s="111" t="str">
        <f aca="false">IF(    OR(   AND($C40=10000000,    $A$17&lt;=CL$19,      ($A$17+$DH$17)&gt;CL$19    ),   AND($C40&lt;&gt;10000000,  CL$19&gt;=$DW40,    CL$19&lt;=($DX40+$DH$17)  ))   ,$DV40,  "")</f>
        <v/>
      </c>
      <c r="CM40" s="111" t="str">
        <f aca="false">IF(    OR(   AND($C40=10000000,    $A$17&lt;=CM$19,      ($A$17+$DH$17)&gt;CM$19    ),   AND($C40&lt;&gt;10000000,  CM$19&gt;=$DW40,    CM$19&lt;=($DX40+$DH$17)  ))   ,$DV40,  "")</f>
        <v/>
      </c>
      <c r="CN40" s="111" t="str">
        <f aca="false">IF(    OR(   AND($C40=10000000,    $A$17&lt;=CN$19,      ($A$17+$DH$17)&gt;CN$19    ),   AND($C40&lt;&gt;10000000,  CN$19&gt;=$DW40,    CN$19&lt;=($DX40+$DH$17)  ))   ,$DV40,  "")</f>
        <v/>
      </c>
      <c r="CO40" s="111" t="str">
        <f aca="false">IF(    OR(   AND($C40=10000000,    $A$17&lt;=CO$19,      ($A$17+$DH$17)&gt;CO$19    ),   AND($C40&lt;&gt;10000000,  CO$19&gt;=$DW40,    CO$19&lt;=($DX40+$DH$17)  ))   ,$DV40,  "")</f>
        <v/>
      </c>
      <c r="CP40" s="111" t="str">
        <f aca="false">IF(    OR(   AND($C40=10000000,    $A$17&lt;=CP$19,      ($A$17+$DH$17)&gt;CP$19    ),   AND($C40&lt;&gt;10000000,  CP$19&gt;=$DW40,    CP$19&lt;=($DX40+$DH$17)  ))   ,$DV40,  "")</f>
        <v/>
      </c>
      <c r="CQ40" s="111" t="str">
        <f aca="false">IF(    OR(   AND($C40=10000000,    $A$17&lt;=CQ$19,      ($A$17+$DH$17)&gt;CQ$19    ),   AND($C40&lt;&gt;10000000,  CQ$19&gt;=$DW40,    CQ$19&lt;=($DX40+$DH$17)  ))   ,$DV40,  "")</f>
        <v/>
      </c>
      <c r="CR40" s="111" t="str">
        <f aca="false">IF(    OR(   AND($C40=10000000,    $A$17&lt;=CR$19,      ($A$17+$DH$17)&gt;CR$19    ),   AND($C40&lt;&gt;10000000,  CR$19&gt;=$DW40,    CR$19&lt;=($DX40+$DH$17)  ))   ,$DV40,  "")</f>
        <v/>
      </c>
      <c r="CS40" s="111" t="str">
        <f aca="false">IF(    OR(   AND($C40=10000000,    $A$17&lt;=CS$19,      ($A$17+$DH$17)&gt;CS$19    ),   AND($C40&lt;&gt;10000000,  CS$19&gt;=$DW40,    CS$19&lt;=($DX40+$DH$17)  ))   ,$DV40,  "")</f>
        <v/>
      </c>
      <c r="CT40" s="111" t="str">
        <f aca="false">IF(    OR(   AND($C40=10000000,    $A$17&lt;=CT$19,      ($A$17+$DH$17)&gt;CT$19    ),   AND($C40&lt;&gt;10000000,  CT$19&gt;=$DW40,    CT$19&lt;=($DX40+$DH$17)  ))   ,$DV40,  "")</f>
        <v/>
      </c>
      <c r="CU40" s="111" t="str">
        <f aca="false">IF(    OR(   AND($C40=10000000,    $A$17&lt;=CU$19,      ($A$17+$DH$17)&gt;CU$19    ),   AND($C40&lt;&gt;10000000,  CU$19&gt;=$DW40,    CU$19&lt;=($DX40+$DH$17)  ))   ,$DV40,  "")</f>
        <v/>
      </c>
      <c r="CV40" s="111" t="str">
        <f aca="false">IF(    OR(   AND($C40=10000000,    $A$17&lt;=CV$19,      ($A$17+$DH$17)&gt;CV$19    ),   AND($C40&lt;&gt;10000000,  CV$19&gt;=$DW40,    CV$19&lt;=($DX40+$DH$17)  ))   ,$DV40,  "")</f>
        <v/>
      </c>
      <c r="CW40" s="111" t="str">
        <f aca="false">IF(    OR(   AND($C40=10000000,    $A$17&lt;=CW$19,      ($A$17+$DH$17)&gt;CW$19    ),   AND($C40&lt;&gt;10000000,  CW$19&gt;=$DW40,    CW$19&lt;=($DX40+$DH$17)  ))   ,$DV40,  "")</f>
        <v/>
      </c>
      <c r="CX40" s="111" t="str">
        <f aca="false">IF(    OR(   AND($C40=10000000,    $A$17&lt;=CX$19,      ($A$17+$DH$17)&gt;CX$19    ),   AND($C40&lt;&gt;10000000,  CX$19&gt;=$DW40,    CX$19&lt;=($DX40+$DH$17)  ))   ,$DV40,  "")</f>
        <v/>
      </c>
      <c r="CY40" s="111" t="str">
        <f aca="false">IF(    OR(   AND($C40=10000000,    $A$17&lt;=CY$19,      ($A$17+$DH$17)&gt;CY$19    ),   AND($C40&lt;&gt;10000000,  CY$19&gt;=$DW40,    CY$19&lt;=($DX40+$DH$17)  ))   ,$DV40,  "")</f>
        <v/>
      </c>
      <c r="CZ40" s="111" t="str">
        <f aca="false">IF(    OR(   AND($C40=10000000,    $A$17&lt;=CZ$19,      ($A$17+$DH$17)&gt;CZ$19    ),   AND($C40&lt;&gt;10000000,  CZ$19&gt;=$DW40,    CZ$19&lt;=($DX40+$DH$17)  ))   ,$DV40,  "")</f>
        <v/>
      </c>
      <c r="DA40" s="111" t="str">
        <f aca="false">IF(    OR(   AND($C40=10000000,    $A$17&lt;=DA$19,      ($A$17+$DH$17)&gt;DA$19    ),   AND($C40&lt;&gt;10000000,  DA$19&gt;=$DW40,    DA$19&lt;=($DX40+$DH$17)  ))   ,$DV40,  "")</f>
        <v/>
      </c>
      <c r="DB40" s="111" t="str">
        <f aca="false">IF(    OR(   AND($C40=10000000,    $A$17&lt;=DB$19,      ($A$17+$DH$17)&gt;DB$19    ),   AND($C40&lt;&gt;10000000,  DB$19&gt;=$DW40,    DB$19&lt;=($DX40+$DH$17)  ))   ,$DV40,  "")</f>
        <v/>
      </c>
      <c r="DC40" s="111" t="str">
        <f aca="false">IF(    OR(   AND($C40=10000000,    $A$17&lt;=DC$19,      ($A$17+$DH$17)&gt;DC$19    ),   AND($C40&lt;&gt;10000000,  DC$19&gt;=$DW40,    DC$19&lt;=($DX40+$DH$17)  ))   ,$DV40,  "")</f>
        <v/>
      </c>
      <c r="DD40" s="111" t="str">
        <f aca="false">IF(    OR(   AND($C40=10000000,    $A$17&lt;=DD$19,      ($A$17+$DH$17)&gt;DD$19    ),   AND($C40&lt;&gt;10000000,  DD$19&gt;=$DW40,    DD$19&lt;=($DX40+$DH$17)  ))   ,$DV40,  "")</f>
        <v/>
      </c>
      <c r="DE40" s="111" t="str">
        <f aca="false">IF(    OR(   AND($C40=10000000,    $A$17&lt;=DE$19,      ($A$17+$DH$17)&gt;DE$19    ),   AND($C40&lt;&gt;10000000,  DE$19&gt;=$DW40,    DE$19&lt;=($DX40+$DH$17)  ))   ,$DV40,  "")</f>
        <v/>
      </c>
      <c r="DF40" s="111" t="str">
        <f aca="false">IF(    OR(   AND($C40=10000000,    $A$17&lt;=DF$19,      ($A$17+$DH$17)&gt;DF$19    ),   AND($C40&lt;&gt;10000000,  DF$19&gt;=$DW40,    DF$19&lt;=($DX40+$DH$17)  ))   ,$DV40,  "")</f>
        <v/>
      </c>
      <c r="DG40" s="111" t="str">
        <f aca="false">IF(    OR(   AND($C40=10000000,    $A$17&lt;=DG$19,      ($A$17+$DH$17)&gt;DG$19    ),   AND($C40&lt;&gt;10000000,  DG$19&gt;=$DW40,    DG$19&lt;=($DX40+$DH$17)  ))   ,$DV40,  "")</f>
        <v/>
      </c>
      <c r="DH40" s="111" t="str">
        <f aca="false">IF(    OR(   AND($C40=10000000,    $A$17&lt;=DH$19,      ($A$17+$DH$17)&gt;DH$19    ),   AND($C40&lt;&gt;10000000,  DH$19&gt;=$DW40,    DH$19&lt;=($DX40+$DH$17)  ))   ,$DV40,  "")</f>
        <v/>
      </c>
      <c r="DI40" s="112" t="str">
        <f aca="false">IF(BB40="","",IF(ISERROR(FIND(CHAR(10),BB40,1)),BB40,LEFT(BB40,FIND(CHAR(10),BB40,1))))</f>
        <v/>
      </c>
      <c r="DJ40" s="53" t="str">
        <f aca="false">IF(BB40="","",IFERROR(RIGHT(BB40,LEN(BB40)-FIND("@@@",SUBSTITUTE(BB40,CHAR(10),"@@@",LEN(BB40)-LEN(SUBSTITUTE(BB40,CHAR(10),""))),1)),BB40))</f>
        <v/>
      </c>
      <c r="DK40" s="53" t="str">
        <f aca="false">IF(BC40="","",IFERROR(RIGHT(BC40,LEN(BC40)-FIND("@@@",SUBSTITUTE(BC40,CHAR(10),"@@@",LEN(BC40)-LEN(SUBSTITUTE(BC40,CHAR(10),""))),1)),BC40))</f>
        <v/>
      </c>
      <c r="DL40" s="113" t="str">
        <f aca="false">IFERROR(DATE(("20"&amp;MID(DI40,7,2))*1,MID(DI40,4,2)*1,MID(DI40,1,2)*1),"none")</f>
        <v>none</v>
      </c>
      <c r="DM40" s="113" t="str">
        <f aca="false">IFERROR(DATE(("20"&amp;MID(DJ40,7,2))*1,MID(DJ40,4,2)*1,MID(DJ40,1,2)*1),"none")</f>
        <v>none</v>
      </c>
      <c r="DN40" s="113" t="n">
        <f aca="false">IF(DL40&lt;&gt;"none",DL40,DATE(1900,1,1))</f>
        <v>2</v>
      </c>
      <c r="DO40" s="113" t="n">
        <f aca="false">IF(DM40&lt;&gt;"none",DM40,DN40)</f>
        <v>2</v>
      </c>
      <c r="DP40" s="114" t="n">
        <f aca="false">_xlfn.DAYS($A$17,DN40)</f>
        <v>45332</v>
      </c>
      <c r="DQ40" s="114" t="n">
        <f aca="false">_xlfn.DAYS($A$17, DO40)</f>
        <v>45332</v>
      </c>
      <c r="DR40" s="51" t="n">
        <f aca="false">IF(DO40&lt;&gt;"",INT(DQ40/7),0)</f>
        <v>6476</v>
      </c>
      <c r="DS40" s="114" t="n">
        <f aca="false">IF(M40="Overdue",_xlfn.DAYS($A$17,AL40),0)</f>
        <v>0</v>
      </c>
      <c r="DT40" s="114" t="n">
        <f aca="false">IF(AH40="Project",_xlfn.DAYS(AL40,$A$17),0)</f>
        <v>0</v>
      </c>
      <c r="DU40" s="51" t="str">
        <f aca="false">IFERROR(INDEX(Static!$D$5:$E$11,MATCH(AH40,Static!$D$5:$D$11,0),2),"")</f>
        <v/>
      </c>
      <c r="DV40" s="51" t="str">
        <f aca="false">IF(C40=10000000,"Red",IF(OR(C40=11000000,C40=12000000),"Black",IF(C40=11100000,"Dark",IF(AND(C40=12100000,M40="Completed"),"Green",IF(AND(C40=12100000,M40="Overdue"),"Red",IF(C40=12100000,"Dark",IF(AND(C40=12110000,M40="Overdue"),"LightRed",IF(AND(C40=12110000,M40="Completed"),"LightGreen",IF(OR(C40=11110000,C40=12110000),"Light",IF(AND(C40=12111000,M40="Overdue"),"SoftRed",IF(AND(C40=12111000,M40="Completed"),"SoftGreen",IF(OR(C40=11111000,C40=12111000),"Grey",""))))))))))))</f>
        <v/>
      </c>
      <c r="DW40" s="49" t="n">
        <f aca="false">IF(AK40&lt;&gt;"",AK40,$BI$19)</f>
        <v>44927</v>
      </c>
      <c r="DX40" s="49" t="n">
        <f aca="false">IF(AL40&lt;&gt;"",AL40,$DH$19)</f>
        <v>45657</v>
      </c>
      <c r="DY40" s="79" t="s">
        <v>450</v>
      </c>
    </row>
    <row r="41" customFormat="false" ht="14.15" hidden="false" customHeight="true" outlineLevel="0" collapsed="false">
      <c r="A41" s="63"/>
      <c r="B41" s="53" t="n">
        <f aca="false">AH41</f>
        <v>0</v>
      </c>
      <c r="C41" s="51" t="n">
        <f aca="false">IFERROR(INDEX(Static!$D$5:$F$11,MATCH(AH41,Static!$D$5:$D$11,0),3),90000000)</f>
        <v>90000000</v>
      </c>
      <c r="D41" s="51" t="str">
        <f aca="false">MID(C41,2,1)</f>
        <v>0</v>
      </c>
      <c r="E41" s="53" t="str">
        <f aca="false">AB41</f>
        <v/>
      </c>
      <c r="F41" s="51" t="str">
        <f aca="false">IF(B41="Venture",0,IF(OR(B41="Project",B41="Stream",B41="Action"),AK41,""))</f>
        <v/>
      </c>
      <c r="G41" s="51" t="n">
        <f aca="false">AS41</f>
        <v>0</v>
      </c>
      <c r="H41" s="51" t="str">
        <f aca="false">IF(B41="Venture",0,IFERROR(INDEX($E$20:$F$55,MATCH(G41,$E$20:$E$55,0),2),""))</f>
        <v/>
      </c>
      <c r="I41" s="51" t="str">
        <f aca="false">IF(B41="Venture",0,IFERROR(INDEX($E$20:$G$55,MATCH(G41,$E$20:$E$55,0),3),""))</f>
        <v/>
      </c>
      <c r="J41" s="51" t="str">
        <f aca="false">IF(B41="Venture",0,IFERROR(INDEX($E$20:$H$55,MATCH(G41,$E$20:$E$55,0),4),""))</f>
        <v/>
      </c>
      <c r="K41" s="51" t="n">
        <f aca="false">IF(B41="Venture",0,IFERROR(INDEX($E$20:$G$55,MATCH(I41,$E$20:$E$55,0),3),""))</f>
        <v>0</v>
      </c>
      <c r="L41" s="51" t="str">
        <f aca="false">IF(M41="Completed","Completed","Ongoing")</f>
        <v>Ongoing</v>
      </c>
      <c r="M41" s="51" t="n">
        <f aca="false">IF(OR(AH41="Venture",AH41="Routine",AH41="Run Goal", AH41="Chg Goal", AH41=""),AH41,IF(AN41&lt;&gt;"","Completed",IF(AM41&lt;&gt;"","Pending",IF(AND(AL41&lt;&gt;"",$A$17&gt;AL41),"Overdue",IF($A$17&gt;AK41,"Started","Open")))))</f>
        <v>0</v>
      </c>
      <c r="N41" s="50" t="n">
        <f aca="false">((LEN($BC41)-LEN(SUBSTITUTE($BC41,CHAR(10)&amp;". ","")))/3)+IF(LEFT(TRIM($BC41),2)=". ",1,0)</f>
        <v>0</v>
      </c>
      <c r="O41" s="50" t="n">
        <f aca="false">((LEN($BC41)-LEN(SUBSTITUTE($BC41,CHAR(10)&amp;"/ ","")))/3)+IF(LEFT(TRIM($BC41),2)="/ ",1,0)</f>
        <v>0</v>
      </c>
      <c r="P41" s="50" t="n">
        <f aca="false">((LEN($BC41)-LEN(SUBSTITUTE($BC41,CHAR(10)&amp;"~ ","")))/3)+IF(LEFT(TRIM($BC41),2)="~ ",1,0)</f>
        <v>0</v>
      </c>
      <c r="Q41" s="50" t="n">
        <f aca="false">((LEN($BC41)-LEN(SUBSTITUTE($BC41,CHAR(10)&amp;"! ","")))/3)+IF(LEFT(TRIM($BC41),2)="! ",1,0)</f>
        <v>0</v>
      </c>
      <c r="R41" s="50" t="n">
        <f aca="false">((LEN($BC41)-LEN(SUBSTITUTE($BC41,CHAR(10)&amp;"x ","")))/3)+IF(LEFT(TRIM($BC41),2)="x ",1,0)</f>
        <v>0</v>
      </c>
      <c r="S41" s="50" t="n">
        <f aca="false">SUM(N41:R41)</f>
        <v>0</v>
      </c>
      <c r="T41" s="51" t="n">
        <f aca="false">IF(OR($B41="Drill",$B41="Action"),$AO41,0)</f>
        <v>0</v>
      </c>
      <c r="U41" s="51" t="n">
        <f aca="false">IF(OR($B41="Sub",$B41="Stream"),$AO41+SUMIFS($AO$20:$AO$55,$G$20:$G$55,$E41),0)</f>
        <v>0</v>
      </c>
      <c r="V41" s="51" t="n">
        <f aca="false">IF(OR($B41="Routine",$B41="Project"),$AO41+SUMIFS($U$20:$U$55,$G$20:$G$55,$E41),0)</f>
        <v>0</v>
      </c>
      <c r="W41" s="51" t="n">
        <f aca="false">IF($B41="Venture",$AO41+SUMIFS($V$20:$V$55,$G$20:$G$55,$E41),0)</f>
        <v>0</v>
      </c>
      <c r="X41" s="51" t="n">
        <f aca="false">IF(OR($B41="Drill",$B41="Action"),$AP41,0)</f>
        <v>0</v>
      </c>
      <c r="Y41" s="51" t="n">
        <f aca="false">IF(OR($B41="Sub",$B41="Stream"),$AP41+SUMIFS($AP$20:$AP$55,$G$20:$G$55,$E41),0)</f>
        <v>0</v>
      </c>
      <c r="Z41" s="51" t="n">
        <f aca="false">IF(OR($B41="Routine",$B41="Project"),$AP41+SUMIFS($Y$20:$Y$55,$G$20:$G$55,$E41),0)</f>
        <v>0</v>
      </c>
      <c r="AA41" s="51" t="n">
        <f aca="false">IF($B41="Venture",$AP41+SUMIFS($Z$20:$Z$55,$G$20:$G$55,$E41),0)</f>
        <v>0</v>
      </c>
      <c r="AB41" s="51" t="str">
        <f aca="false">IF(OR(AH41="Venture", AH41="Run Goal", AH41="Chg Goal"),AI41,AH41&amp;AI41&amp;AR41)</f>
        <v/>
      </c>
      <c r="AC41" s="53" t="str">
        <f aca="false">"  -  "&amp;IF(C41=90000000,9&amp;"Z",D41&amp;AE41&amp;IF(OR(B41="Run Goal",B41="Chg Goal", B41="Venture"),"",IF(OR(B41="Routine",B41="Project"),F41&amp;E41,  IF(OR(B41="Sub",B41="Stream"),H41&amp;G41&amp;F41&amp;E41,IF(OR(B41="Drill",B41="Action"),J41&amp;I41&amp;H41&amp;G41&amp;F41&amp;E41,     "") )    )))</f>
        <v>  -  9Z</v>
      </c>
      <c r="AD41" s="51" t="str">
        <f aca="false">IF(AND(AM41="",AN41=""),"Y","N")</f>
        <v>Y</v>
      </c>
      <c r="AE41" s="103" t="str">
        <f aca="false">IF(OR(AF41="Y",AF41="Y"),AF41,IF(DM41="none","N",IF(DM41&gt;($A$17-WEEKDAY($A$17,2)-(7*$AE$18)),"Y","N")))</f>
        <v>N</v>
      </c>
      <c r="AF41" s="104"/>
      <c r="AG41" s="105"/>
      <c r="AH41" s="79"/>
      <c r="AI41" s="56"/>
      <c r="AJ41" s="56"/>
      <c r="AK41" s="106"/>
      <c r="AL41" s="106"/>
      <c r="AM41" s="106"/>
      <c r="AN41" s="106"/>
      <c r="AO41" s="107"/>
      <c r="AP41" s="107"/>
      <c r="AQ41" s="79"/>
      <c r="AR41" s="79"/>
      <c r="AS41" s="79"/>
      <c r="AT41" s="79"/>
      <c r="AU41" s="79"/>
      <c r="AV41" s="79"/>
      <c r="AW41" s="79"/>
      <c r="AX41" s="79"/>
      <c r="AY41" s="79"/>
      <c r="AZ41" s="79"/>
      <c r="BA41" s="63"/>
      <c r="BB41" s="108"/>
      <c r="BC41" s="63"/>
      <c r="BD41" s="51" t="n">
        <f aca="false">SUM(N41:Q41)</f>
        <v>0</v>
      </c>
      <c r="BE41" s="59" t="n">
        <f aca="false">IF(AI41="",1,IF(S41&lt;&gt;0,(O41*0.5+R41)/S41,1))</f>
        <v>1</v>
      </c>
      <c r="BF41" s="81" t="str">
        <f aca="false">IF(AH41="","",IF(AH41="Venture",W41,IF(OR(AH41="Chg Goal",AH41="RUn Goal"),V41,IF(OR(AH41="ROutine",AH41="Project"),V41,IF(OR(AH41="Sub",AH41="Stream"),U41,IF(OR(AH41="Drill",AH41="Action"),T41,0))))))</f>
        <v/>
      </c>
      <c r="BG41" s="81" t="str">
        <f aca="false">IF(AH41="","",IF(AH41="Venture",AA41,IF(OR(AH41="Chg Goal",AH41="RUn Goal"),Z41,IF(OR(AH41="ROutine",AH41="Project"),Z41,IF(OR(AH41="Sub",AH41="Stream"),Y41,IF(OR(AH41="Drill",AH41="Action"),X41,0))))))</f>
        <v/>
      </c>
      <c r="BH41" s="109" t="str">
        <f aca="false">IF(AI41="","",IF(OR(BF41=0, BF41=""),0,BG41/BF41))</f>
        <v/>
      </c>
      <c r="BI41" s="110" t="str">
        <f aca="false">IF(    OR(   AND($C41=10000000,    BI$19&gt;=$A$17,      BI$19 &lt;($A$17+$DH$17)   ),   AND($C41&lt;&gt;10000000,  BI$19&gt;=$DW41,    BI$19&lt;=($DX41+$DH$17)  ))   ,$DV41,  "")</f>
        <v/>
      </c>
      <c r="BJ41" s="111" t="str">
        <f aca="false">IF(    OR(   AND($C41=10000000,    $A$17&lt;=BJ$19,      ($A$17+$DH$17)&gt;BJ$19    ),   AND($C41&lt;&gt;10000000,  BJ$19&gt;=$DW41,    BJ$19&lt;=($DX41+$DH$17)  ))   ,$DV41,  "")</f>
        <v/>
      </c>
      <c r="BK41" s="111" t="str">
        <f aca="false">IF(    OR(   AND($C41=10000000,    $A$17&lt;=BK$19,      ($A$17+$DH$17)&gt;BK$19    ),   AND($C41&lt;&gt;10000000,  BK$19&gt;=$DW41,    BK$19&lt;=($DX41+$DH$17)  ))   ,$DV41,  "")</f>
        <v/>
      </c>
      <c r="BL41" s="111" t="str">
        <f aca="false">IF(    OR(   AND($C41=10000000,    $A$17&lt;=BL$19,      ($A$17+$DH$17)&gt;BL$19    ),   AND($C41&lt;&gt;10000000,  BL$19&gt;=$DW41,    BL$19&lt;=($DX41+$DH$17)  ))   ,$DV41,  "")</f>
        <v/>
      </c>
      <c r="BM41" s="111" t="str">
        <f aca="false">IF(    OR(   AND($C41=10000000,    $A$17&lt;=BM$19,      ($A$17+$DH$17)&gt;BM$19    ),   AND($C41&lt;&gt;10000000,  BM$19&gt;=$DW41,    BM$19&lt;=($DX41+$DH$17)  ))   ,$DV41,  "")</f>
        <v/>
      </c>
      <c r="BN41" s="111" t="str">
        <f aca="false">IF(    OR(   AND($C41=10000000,    $A$17&lt;=BN$19,      ($A$17+$DH$17)&gt;BN$19    ),   AND($C41&lt;&gt;10000000,  BN$19&gt;=$DW41,    BN$19&lt;=($DX41+$DH$17)  ))   ,$DV41,  "")</f>
        <v/>
      </c>
      <c r="BO41" s="111" t="str">
        <f aca="false">IF(    OR(   AND($C41=10000000,    $A$17&lt;=BO$19,      ($A$17+$DH$17)&gt;BO$19    ),   AND($C41&lt;&gt;10000000,  BO$19&gt;=$DW41,    BO$19&lt;=($DX41+$DH$17)  ))   ,$DV41,  "")</f>
        <v/>
      </c>
      <c r="BP41" s="111" t="str">
        <f aca="false">IF(    OR(   AND($C41=10000000,    $A$17&lt;=BP$19,      ($A$17+$DH$17)&gt;BP$19    ),   AND($C41&lt;&gt;10000000,  BP$19&gt;=$DW41,    BP$19&lt;=($DX41+$DH$17)  ))   ,$DV41,  "")</f>
        <v/>
      </c>
      <c r="BQ41" s="111" t="str">
        <f aca="false">IF(    OR(   AND($C41=10000000,    $A$17&lt;=BQ$19,      ($A$17+$DH$17)&gt;BQ$19    ),   AND($C41&lt;&gt;10000000,  BQ$19&gt;=$DW41,    BQ$19&lt;=($DX41+$DH$17)  ))   ,$DV41,  "")</f>
        <v/>
      </c>
      <c r="BR41" s="111" t="str">
        <f aca="false">IF(    OR(   AND($C41=10000000,    $A$17&lt;=BR$19,      ($A$17+$DH$17)&gt;BR$19    ),   AND($C41&lt;&gt;10000000,  BR$19&gt;=$DW41,    BR$19&lt;=($DX41+$DH$17)  ))   ,$DV41,  "")</f>
        <v/>
      </c>
      <c r="BS41" s="111" t="str">
        <f aca="false">IF(    OR(   AND($C41=10000000,    $A$17&lt;=BS$19,      ($A$17+$DH$17)&gt;BS$19    ),   AND($C41&lt;&gt;10000000,  BS$19&gt;=$DW41,    BS$19&lt;=($DX41+$DH$17)  ))   ,$DV41,  "")</f>
        <v/>
      </c>
      <c r="BT41" s="111" t="str">
        <f aca="false">IF(    OR(   AND($C41=10000000,    $A$17&lt;=BT$19,      ($A$17+$DH$17)&gt;BT$19    ),   AND($C41&lt;&gt;10000000,  BT$19&gt;=$DW41,    BT$19&lt;=($DX41+$DH$17)  ))   ,$DV41,  "")</f>
        <v/>
      </c>
      <c r="BU41" s="111" t="str">
        <f aca="false">IF(    OR(   AND($C41=10000000,    $A$17&lt;=BU$19,      ($A$17+$DH$17)&gt;BU$19    ),   AND($C41&lt;&gt;10000000,  BU$19&gt;=$DW41,    BU$19&lt;=($DX41+$DH$17)  ))   ,$DV41,  "")</f>
        <v/>
      </c>
      <c r="BV41" s="111" t="str">
        <f aca="false">IF(    OR(   AND($C41=10000000,    $A$17&lt;=BV$19,      ($A$17+$DH$17)&gt;BV$19    ),   AND($C41&lt;&gt;10000000,  BV$19&gt;=$DW41,    BV$19&lt;=($DX41+$DH$17)  ))   ,$DV41,  "")</f>
        <v/>
      </c>
      <c r="BW41" s="111" t="str">
        <f aca="false">IF(    OR(   AND($C41=10000000,    $A$17&lt;=BW$19,      ($A$17+$DH$17)&gt;BW$19    ),   AND($C41&lt;&gt;10000000,  BW$19&gt;=$DW41,    BW$19&lt;=($DX41+$DH$17)  ))   ,$DV41,  "")</f>
        <v/>
      </c>
      <c r="BX41" s="111" t="str">
        <f aca="false">IF(    OR(   AND($C41=10000000,    $A$17&lt;=BX$19,      ($A$17+$DH$17)&gt;BX$19    ),   AND($C41&lt;&gt;10000000,  BX$19&gt;=$DW41,    BX$19&lt;=($DX41+$DH$17)  ))   ,$DV41,  "")</f>
        <v/>
      </c>
      <c r="BY41" s="111" t="str">
        <f aca="false">IF(    OR(   AND($C41=10000000,    $A$17&lt;=BY$19,      ($A$17+$DH$17)&gt;BY$19    ),   AND($C41&lt;&gt;10000000,  BY$19&gt;=$DW41,    BY$19&lt;=($DX41+$DH$17)  ))   ,$DV41,  "")</f>
        <v/>
      </c>
      <c r="BZ41" s="111" t="str">
        <f aca="false">IF(    OR(   AND($C41=10000000,    $A$17&lt;=BZ$19,      ($A$17+$DH$17)&gt;BZ$19    ),   AND($C41&lt;&gt;10000000,  BZ$19&gt;=$DW41,    BZ$19&lt;=($DX41+$DH$17)  ))   ,$DV41,  "")</f>
        <v/>
      </c>
      <c r="CA41" s="111" t="str">
        <f aca="false">IF(    OR(   AND($C41=10000000,    $A$17&lt;=CA$19,      ($A$17+$DH$17)&gt;CA$19    ),   AND($C41&lt;&gt;10000000,  CA$19&gt;=$DW41,    CA$19&lt;=($DX41+$DH$17)  ))   ,$DV41,  "")</f>
        <v/>
      </c>
      <c r="CB41" s="111" t="str">
        <f aca="false">IF(    OR(   AND($C41=10000000,    $A$17&lt;=CB$19,      ($A$17+$DH$17)&gt;CB$19    ),   AND($C41&lt;&gt;10000000,  CB$19&gt;=$DW41,    CB$19&lt;=($DX41+$DH$17)  ))   ,$DV41,  "")</f>
        <v/>
      </c>
      <c r="CC41" s="111" t="str">
        <f aca="false">IF(    OR(   AND($C41=10000000,    $A$17&lt;=CC$19,      ($A$17+$DH$17)&gt;CC$19    ),   AND($C41&lt;&gt;10000000,  CC$19&gt;=$DW41,    CC$19&lt;=($DX41+$DH$17)  ))   ,$DV41,  "")</f>
        <v/>
      </c>
      <c r="CD41" s="111" t="str">
        <f aca="false">IF(    OR(   AND($C41=10000000,    $A$17&lt;=CD$19,      ($A$17+$DH$17)&gt;CD$19    ),   AND($C41&lt;&gt;10000000,  CD$19&gt;=$DW41,    CD$19&lt;=($DX41+$DH$17)  ))   ,$DV41,  "")</f>
        <v/>
      </c>
      <c r="CE41" s="111" t="str">
        <f aca="false">IF(    OR(   AND($C41=10000000,    $A$17&lt;=CE$19,      ($A$17+$DH$17)&gt;CE$19    ),   AND($C41&lt;&gt;10000000,  CE$19&gt;=$DW41,    CE$19&lt;=($DX41+$DH$17)  ))   ,$DV41,  "")</f>
        <v/>
      </c>
      <c r="CF41" s="111" t="str">
        <f aca="false">IF(    OR(   AND($C41=10000000,    $A$17&lt;=CF$19,      ($A$17+$DH$17)&gt;CF$19    ),   AND($C41&lt;&gt;10000000,  CF$19&gt;=$DW41,    CF$19&lt;=($DX41+$DH$17)  ))   ,$DV41,  "")</f>
        <v/>
      </c>
      <c r="CG41" s="111" t="str">
        <f aca="false">IF(    OR(   AND($C41=10000000,    $A$17&lt;=CG$19,      ($A$17+$DH$17)&gt;CG$19    ),   AND($C41&lt;&gt;10000000,  CG$19&gt;=$DW41,    CG$19&lt;=($DX41+$DH$17)  ))   ,$DV41,  "")</f>
        <v/>
      </c>
      <c r="CH41" s="111" t="str">
        <f aca="false">IF(    OR(   AND($C41=10000000,    $A$17&lt;=CH$19,      ($A$17+$DH$17)&gt;CH$19    ),   AND($C41&lt;&gt;10000000,  CH$19&gt;=$DW41,    CH$19&lt;=($DX41+$DH$17)  ))   ,$DV41,  "")</f>
        <v/>
      </c>
      <c r="CI41" s="111" t="str">
        <f aca="false">IF(    OR(   AND($C41=10000000,    $A$17&lt;=CI$19,      ($A$17+$DH$17)&gt;CI$19    ),   AND($C41&lt;&gt;10000000,  CI$19&gt;=$DW41,    CI$19&lt;=($DX41+$DH$17)  ))   ,$DV41,  "")</f>
        <v/>
      </c>
      <c r="CJ41" s="111" t="str">
        <f aca="false">IF(    OR(   AND($C41=10000000,    $A$17&lt;=CJ$19,      ($A$17+$DH$17)&gt;CJ$19    ),   AND($C41&lt;&gt;10000000,  CJ$19&gt;=$DW41,    CJ$19&lt;=($DX41+$DH$17)  ))   ,$DV41,  "")</f>
        <v/>
      </c>
      <c r="CK41" s="111" t="str">
        <f aca="false">IF(    OR(   AND($C41=10000000,    $A$17&lt;=CK$19,      ($A$17+$DH$17)&gt;CK$19    ),   AND($C41&lt;&gt;10000000,  CK$19&gt;=$DW41,    CK$19&lt;=($DX41+$DH$17)  ))   ,$DV41,  "")</f>
        <v/>
      </c>
      <c r="CL41" s="111" t="str">
        <f aca="false">IF(    OR(   AND($C41=10000000,    $A$17&lt;=CL$19,      ($A$17+$DH$17)&gt;CL$19    ),   AND($C41&lt;&gt;10000000,  CL$19&gt;=$DW41,    CL$19&lt;=($DX41+$DH$17)  ))   ,$DV41,  "")</f>
        <v/>
      </c>
      <c r="CM41" s="111" t="str">
        <f aca="false">IF(    OR(   AND($C41=10000000,    $A$17&lt;=CM$19,      ($A$17+$DH$17)&gt;CM$19    ),   AND($C41&lt;&gt;10000000,  CM$19&gt;=$DW41,    CM$19&lt;=($DX41+$DH$17)  ))   ,$DV41,  "")</f>
        <v/>
      </c>
      <c r="CN41" s="111" t="str">
        <f aca="false">IF(    OR(   AND($C41=10000000,    $A$17&lt;=CN$19,      ($A$17+$DH$17)&gt;CN$19    ),   AND($C41&lt;&gt;10000000,  CN$19&gt;=$DW41,    CN$19&lt;=($DX41+$DH$17)  ))   ,$DV41,  "")</f>
        <v/>
      </c>
      <c r="CO41" s="111" t="str">
        <f aca="false">IF(    OR(   AND($C41=10000000,    $A$17&lt;=CO$19,      ($A$17+$DH$17)&gt;CO$19    ),   AND($C41&lt;&gt;10000000,  CO$19&gt;=$DW41,    CO$19&lt;=($DX41+$DH$17)  ))   ,$DV41,  "")</f>
        <v/>
      </c>
      <c r="CP41" s="111" t="str">
        <f aca="false">IF(    OR(   AND($C41=10000000,    $A$17&lt;=CP$19,      ($A$17+$DH$17)&gt;CP$19    ),   AND($C41&lt;&gt;10000000,  CP$19&gt;=$DW41,    CP$19&lt;=($DX41+$DH$17)  ))   ,$DV41,  "")</f>
        <v/>
      </c>
      <c r="CQ41" s="111" t="str">
        <f aca="false">IF(    OR(   AND($C41=10000000,    $A$17&lt;=CQ$19,      ($A$17+$DH$17)&gt;CQ$19    ),   AND($C41&lt;&gt;10000000,  CQ$19&gt;=$DW41,    CQ$19&lt;=($DX41+$DH$17)  ))   ,$DV41,  "")</f>
        <v/>
      </c>
      <c r="CR41" s="111" t="str">
        <f aca="false">IF(    OR(   AND($C41=10000000,    $A$17&lt;=CR$19,      ($A$17+$DH$17)&gt;CR$19    ),   AND($C41&lt;&gt;10000000,  CR$19&gt;=$DW41,    CR$19&lt;=($DX41+$DH$17)  ))   ,$DV41,  "")</f>
        <v/>
      </c>
      <c r="CS41" s="111" t="str">
        <f aca="false">IF(    OR(   AND($C41=10000000,    $A$17&lt;=CS$19,      ($A$17+$DH$17)&gt;CS$19    ),   AND($C41&lt;&gt;10000000,  CS$19&gt;=$DW41,    CS$19&lt;=($DX41+$DH$17)  ))   ,$DV41,  "")</f>
        <v/>
      </c>
      <c r="CT41" s="111" t="str">
        <f aca="false">IF(    OR(   AND($C41=10000000,    $A$17&lt;=CT$19,      ($A$17+$DH$17)&gt;CT$19    ),   AND($C41&lt;&gt;10000000,  CT$19&gt;=$DW41,    CT$19&lt;=($DX41+$DH$17)  ))   ,$DV41,  "")</f>
        <v/>
      </c>
      <c r="CU41" s="111" t="str">
        <f aca="false">IF(    OR(   AND($C41=10000000,    $A$17&lt;=CU$19,      ($A$17+$DH$17)&gt;CU$19    ),   AND($C41&lt;&gt;10000000,  CU$19&gt;=$DW41,    CU$19&lt;=($DX41+$DH$17)  ))   ,$DV41,  "")</f>
        <v/>
      </c>
      <c r="CV41" s="111" t="str">
        <f aca="false">IF(    OR(   AND($C41=10000000,    $A$17&lt;=CV$19,      ($A$17+$DH$17)&gt;CV$19    ),   AND($C41&lt;&gt;10000000,  CV$19&gt;=$DW41,    CV$19&lt;=($DX41+$DH$17)  ))   ,$DV41,  "")</f>
        <v/>
      </c>
      <c r="CW41" s="111" t="str">
        <f aca="false">IF(    OR(   AND($C41=10000000,    $A$17&lt;=CW$19,      ($A$17+$DH$17)&gt;CW$19    ),   AND($C41&lt;&gt;10000000,  CW$19&gt;=$DW41,    CW$19&lt;=($DX41+$DH$17)  ))   ,$DV41,  "")</f>
        <v/>
      </c>
      <c r="CX41" s="111" t="str">
        <f aca="false">IF(    OR(   AND($C41=10000000,    $A$17&lt;=CX$19,      ($A$17+$DH$17)&gt;CX$19    ),   AND($C41&lt;&gt;10000000,  CX$19&gt;=$DW41,    CX$19&lt;=($DX41+$DH$17)  ))   ,$DV41,  "")</f>
        <v/>
      </c>
      <c r="CY41" s="111" t="str">
        <f aca="false">IF(    OR(   AND($C41=10000000,    $A$17&lt;=CY$19,      ($A$17+$DH$17)&gt;CY$19    ),   AND($C41&lt;&gt;10000000,  CY$19&gt;=$DW41,    CY$19&lt;=($DX41+$DH$17)  ))   ,$DV41,  "")</f>
        <v/>
      </c>
      <c r="CZ41" s="111" t="str">
        <f aca="false">IF(    OR(   AND($C41=10000000,    $A$17&lt;=CZ$19,      ($A$17+$DH$17)&gt;CZ$19    ),   AND($C41&lt;&gt;10000000,  CZ$19&gt;=$DW41,    CZ$19&lt;=($DX41+$DH$17)  ))   ,$DV41,  "")</f>
        <v/>
      </c>
      <c r="DA41" s="111" t="str">
        <f aca="false">IF(    OR(   AND($C41=10000000,    $A$17&lt;=DA$19,      ($A$17+$DH$17)&gt;DA$19    ),   AND($C41&lt;&gt;10000000,  DA$19&gt;=$DW41,    DA$19&lt;=($DX41+$DH$17)  ))   ,$DV41,  "")</f>
        <v/>
      </c>
      <c r="DB41" s="111" t="str">
        <f aca="false">IF(    OR(   AND($C41=10000000,    $A$17&lt;=DB$19,      ($A$17+$DH$17)&gt;DB$19    ),   AND($C41&lt;&gt;10000000,  DB$19&gt;=$DW41,    DB$19&lt;=($DX41+$DH$17)  ))   ,$DV41,  "")</f>
        <v/>
      </c>
      <c r="DC41" s="111" t="str">
        <f aca="false">IF(    OR(   AND($C41=10000000,    $A$17&lt;=DC$19,      ($A$17+$DH$17)&gt;DC$19    ),   AND($C41&lt;&gt;10000000,  DC$19&gt;=$DW41,    DC$19&lt;=($DX41+$DH$17)  ))   ,$DV41,  "")</f>
        <v/>
      </c>
      <c r="DD41" s="111" t="str">
        <f aca="false">IF(    OR(   AND($C41=10000000,    $A$17&lt;=DD$19,      ($A$17+$DH$17)&gt;DD$19    ),   AND($C41&lt;&gt;10000000,  DD$19&gt;=$DW41,    DD$19&lt;=($DX41+$DH$17)  ))   ,$DV41,  "")</f>
        <v/>
      </c>
      <c r="DE41" s="111" t="str">
        <f aca="false">IF(    OR(   AND($C41=10000000,    $A$17&lt;=DE$19,      ($A$17+$DH$17)&gt;DE$19    ),   AND($C41&lt;&gt;10000000,  DE$19&gt;=$DW41,    DE$19&lt;=($DX41+$DH$17)  ))   ,$DV41,  "")</f>
        <v/>
      </c>
      <c r="DF41" s="111" t="str">
        <f aca="false">IF(    OR(   AND($C41=10000000,    $A$17&lt;=DF$19,      ($A$17+$DH$17)&gt;DF$19    ),   AND($C41&lt;&gt;10000000,  DF$19&gt;=$DW41,    DF$19&lt;=($DX41+$DH$17)  ))   ,$DV41,  "")</f>
        <v/>
      </c>
      <c r="DG41" s="111" t="str">
        <f aca="false">IF(    OR(   AND($C41=10000000,    $A$17&lt;=DG$19,      ($A$17+$DH$17)&gt;DG$19    ),   AND($C41&lt;&gt;10000000,  DG$19&gt;=$DW41,    DG$19&lt;=($DX41+$DH$17)  ))   ,$DV41,  "")</f>
        <v/>
      </c>
      <c r="DH41" s="111" t="str">
        <f aca="false">IF(    OR(   AND($C41=10000000,    $A$17&lt;=DH$19,      ($A$17+$DH$17)&gt;DH$19    ),   AND($C41&lt;&gt;10000000,  DH$19&gt;=$DW41,    DH$19&lt;=($DX41+$DH$17)  ))   ,$DV41,  "")</f>
        <v/>
      </c>
      <c r="DI41" s="112" t="str">
        <f aca="false">IF(BB41="","",IF(ISERROR(FIND(CHAR(10),BB41,1)),BB41,LEFT(BB41,FIND(CHAR(10),BB41,1))))</f>
        <v/>
      </c>
      <c r="DJ41" s="53" t="str">
        <f aca="false">IF(BB41="","",IFERROR(RIGHT(BB41,LEN(BB41)-FIND("@@@",SUBSTITUTE(BB41,CHAR(10),"@@@",LEN(BB41)-LEN(SUBSTITUTE(BB41,CHAR(10),""))),1)),BB41))</f>
        <v/>
      </c>
      <c r="DK41" s="53" t="str">
        <f aca="false">IF(BC41="","",IFERROR(RIGHT(BC41,LEN(BC41)-FIND("@@@",SUBSTITUTE(BC41,CHAR(10),"@@@",LEN(BC41)-LEN(SUBSTITUTE(BC41,CHAR(10),""))),1)),BC41))</f>
        <v/>
      </c>
      <c r="DL41" s="113" t="str">
        <f aca="false">IFERROR(DATE(("20"&amp;MID(DI41,7,2))*1,MID(DI41,4,2)*1,MID(DI41,1,2)*1),"none")</f>
        <v>none</v>
      </c>
      <c r="DM41" s="113" t="str">
        <f aca="false">IFERROR(DATE(("20"&amp;MID(DJ41,7,2))*1,MID(DJ41,4,2)*1,MID(DJ41,1,2)*1),"none")</f>
        <v>none</v>
      </c>
      <c r="DN41" s="113" t="n">
        <f aca="false">IF(DL41&lt;&gt;"none",DL41,DATE(1900,1,1))</f>
        <v>2</v>
      </c>
      <c r="DO41" s="113" t="n">
        <f aca="false">IF(DM41&lt;&gt;"none",DM41,DN41)</f>
        <v>2</v>
      </c>
      <c r="DP41" s="114" t="n">
        <f aca="false">_xlfn.DAYS($A$17,DN41)</f>
        <v>45332</v>
      </c>
      <c r="DQ41" s="114" t="n">
        <f aca="false">_xlfn.DAYS($A$17, DO41)</f>
        <v>45332</v>
      </c>
      <c r="DR41" s="51" t="n">
        <f aca="false">IF(DO41&lt;&gt;"",INT(DQ41/7),0)</f>
        <v>6476</v>
      </c>
      <c r="DS41" s="114" t="n">
        <f aca="false">IF(M41="Overdue",_xlfn.DAYS($A$17,AL41),0)</f>
        <v>0</v>
      </c>
      <c r="DT41" s="114" t="n">
        <f aca="false">IF(AH41="Project",_xlfn.DAYS(AL41,$A$17),0)</f>
        <v>0</v>
      </c>
      <c r="DU41" s="51" t="str">
        <f aca="false">IFERROR(INDEX(Static!$D$5:$E$11,MATCH(AH41,Static!$D$5:$D$11,0),2),"")</f>
        <v/>
      </c>
      <c r="DV41" s="51" t="str">
        <f aca="false">IF(C41=10000000,"Red",IF(OR(C41=11000000,C41=12000000),"Black",IF(C41=11100000,"Dark",IF(AND(C41=12100000,M41="Completed"),"Green",IF(AND(C41=12100000,M41="Overdue"),"Red",IF(C41=12100000,"Dark",IF(AND(C41=12110000,M41="Overdue"),"LightRed",IF(AND(C41=12110000,M41="Completed"),"LightGreen",IF(OR(C41=11110000,C41=12110000),"Light",IF(AND(C41=12111000,M41="Overdue"),"SoftRed",IF(AND(C41=12111000,M41="Completed"),"SoftGreen",IF(OR(C41=11111000,C41=12111000),"Grey",""))))))))))))</f>
        <v/>
      </c>
      <c r="DW41" s="49" t="n">
        <f aca="false">IF(AK41&lt;&gt;"",AK41,$BI$19)</f>
        <v>44927</v>
      </c>
      <c r="DX41" s="49" t="n">
        <f aca="false">IF(AL41&lt;&gt;"",AL41,$DH$19)</f>
        <v>45657</v>
      </c>
      <c r="DY41" s="79" t="s">
        <v>450</v>
      </c>
    </row>
    <row r="42" customFormat="false" ht="14.15" hidden="false" customHeight="true" outlineLevel="0" collapsed="false">
      <c r="A42" s="63"/>
      <c r="B42" s="53" t="n">
        <f aca="false">AH42</f>
        <v>0</v>
      </c>
      <c r="C42" s="51" t="n">
        <f aca="false">IFERROR(INDEX(Static!$D$5:$F$11,MATCH(AH42,Static!$D$5:$D$11,0),3),90000000)</f>
        <v>90000000</v>
      </c>
      <c r="D42" s="51" t="str">
        <f aca="false">MID(C42,2,1)</f>
        <v>0</v>
      </c>
      <c r="E42" s="53" t="str">
        <f aca="false">AB42</f>
        <v/>
      </c>
      <c r="F42" s="51" t="str">
        <f aca="false">IF(B42="Venture",0,IF(OR(B42="Project",B42="Stream",B42="Action"),AK42,""))</f>
        <v/>
      </c>
      <c r="G42" s="51" t="n">
        <f aca="false">AS42</f>
        <v>0</v>
      </c>
      <c r="H42" s="51" t="str">
        <f aca="false">IF(B42="Venture",0,IFERROR(INDEX($E$20:$F$55,MATCH(G42,$E$20:$E$55,0),2),""))</f>
        <v/>
      </c>
      <c r="I42" s="51" t="str">
        <f aca="false">IF(B42="Venture",0,IFERROR(INDEX($E$20:$G$55,MATCH(G42,$E$20:$E$55,0),3),""))</f>
        <v/>
      </c>
      <c r="J42" s="51" t="str">
        <f aca="false">IF(B42="Venture",0,IFERROR(INDEX($E$20:$H$55,MATCH(G42,$E$20:$E$55,0),4),""))</f>
        <v/>
      </c>
      <c r="K42" s="51" t="n">
        <f aca="false">IF(B42="Venture",0,IFERROR(INDEX($E$20:$G$55,MATCH(I42,$E$20:$E$55,0),3),""))</f>
        <v>0</v>
      </c>
      <c r="L42" s="51" t="str">
        <f aca="false">IF(M42="Completed","Completed","Ongoing")</f>
        <v>Ongoing</v>
      </c>
      <c r="M42" s="51" t="n">
        <f aca="false">IF(OR(AH42="Venture",AH42="Routine",AH42="Run Goal", AH42="Chg Goal", AH42=""),AH42,IF(AN42&lt;&gt;"","Completed",IF(AM42&lt;&gt;"","Pending",IF(AND(AL42&lt;&gt;"",$A$17&gt;AL42),"Overdue",IF($A$17&gt;AK42,"Started","Open")))))</f>
        <v>0</v>
      </c>
      <c r="N42" s="50" t="n">
        <f aca="false">((LEN($BC42)-LEN(SUBSTITUTE($BC42,CHAR(10)&amp;". ","")))/3)+IF(LEFT(TRIM($BC42),2)=". ",1,0)</f>
        <v>0</v>
      </c>
      <c r="O42" s="50" t="n">
        <f aca="false">((LEN($BC42)-LEN(SUBSTITUTE($BC42,CHAR(10)&amp;"/ ","")))/3)+IF(LEFT(TRIM($BC42),2)="/ ",1,0)</f>
        <v>0</v>
      </c>
      <c r="P42" s="50" t="n">
        <f aca="false">((LEN($BC42)-LEN(SUBSTITUTE($BC42,CHAR(10)&amp;"~ ","")))/3)+IF(LEFT(TRIM($BC42),2)="~ ",1,0)</f>
        <v>0</v>
      </c>
      <c r="Q42" s="50" t="n">
        <f aca="false">((LEN($BC42)-LEN(SUBSTITUTE($BC42,CHAR(10)&amp;"! ","")))/3)+IF(LEFT(TRIM($BC42),2)="! ",1,0)</f>
        <v>0</v>
      </c>
      <c r="R42" s="50" t="n">
        <f aca="false">((LEN($BC42)-LEN(SUBSTITUTE($BC42,CHAR(10)&amp;"x ","")))/3)+IF(LEFT(TRIM($BC42),2)="x ",1,0)</f>
        <v>0</v>
      </c>
      <c r="S42" s="50" t="n">
        <f aca="false">SUM(N42:R42)</f>
        <v>0</v>
      </c>
      <c r="T42" s="51" t="n">
        <f aca="false">IF(OR($B42="Drill",$B42="Action"),$AO42,0)</f>
        <v>0</v>
      </c>
      <c r="U42" s="51" t="n">
        <f aca="false">IF(OR($B42="Sub",$B42="Stream"),$AO42+SUMIFS($AO$20:$AO$55,$G$20:$G$55,$E42),0)</f>
        <v>0</v>
      </c>
      <c r="V42" s="51" t="n">
        <f aca="false">IF(OR($B42="Routine",$B42="Project"),$AO42+SUMIFS($U$20:$U$55,$G$20:$G$55,$E42),0)</f>
        <v>0</v>
      </c>
      <c r="W42" s="51" t="n">
        <f aca="false">IF($B42="Venture",$AO42+SUMIFS($V$20:$V$55,$G$20:$G$55,$E42),0)</f>
        <v>0</v>
      </c>
      <c r="X42" s="51" t="n">
        <f aca="false">IF(OR($B42="Drill",$B42="Action"),$AP42,0)</f>
        <v>0</v>
      </c>
      <c r="Y42" s="51" t="n">
        <f aca="false">IF(OR($B42="Sub",$B42="Stream"),$AP42+SUMIFS($AP$20:$AP$55,$G$20:$G$55,$E42),0)</f>
        <v>0</v>
      </c>
      <c r="Z42" s="51" t="n">
        <f aca="false">IF(OR($B42="Routine",$B42="Project"),$AP42+SUMIFS($Y$20:$Y$55,$G$20:$G$55,$E42),0)</f>
        <v>0</v>
      </c>
      <c r="AA42" s="51" t="n">
        <f aca="false">IF($B42="Venture",$AP42+SUMIFS($Z$20:$Z$55,$G$20:$G$55,$E42),0)</f>
        <v>0</v>
      </c>
      <c r="AB42" s="51" t="str">
        <f aca="false">IF(OR(AH42="Venture", AH42="Run Goal", AH42="Chg Goal"),AI42,AH42&amp;AI42&amp;AR42)</f>
        <v/>
      </c>
      <c r="AC42" s="53" t="str">
        <f aca="false">"  -  "&amp;IF(C42=90000000,9&amp;"Z",D42&amp;AE42&amp;IF(OR(B42="Run Goal",B42="Chg Goal", B42="Venture"),"",IF(OR(B42="Routine",B42="Project"),F42&amp;E42,  IF(OR(B42="Sub",B42="Stream"),H42&amp;G42&amp;F42&amp;E42,IF(OR(B42="Drill",B42="Action"),J42&amp;I42&amp;H42&amp;G42&amp;F42&amp;E42,     "") )    )))</f>
        <v>  -  9Z</v>
      </c>
      <c r="AD42" s="51" t="str">
        <f aca="false">IF(AND(AM42="",AN42=""),"Y","N")</f>
        <v>Y</v>
      </c>
      <c r="AE42" s="103" t="str">
        <f aca="false">IF(OR(AF42="Y",AF42="Y"),AF42,IF(DM42="none","N",IF(DM42&gt;($A$17-WEEKDAY($A$17,2)-(7*$AE$18)),"Y","N")))</f>
        <v>N</v>
      </c>
      <c r="AF42" s="104"/>
      <c r="AG42" s="105"/>
      <c r="AH42" s="79"/>
      <c r="AI42" s="56"/>
      <c r="AJ42" s="56"/>
      <c r="AK42" s="106"/>
      <c r="AL42" s="106"/>
      <c r="AM42" s="106"/>
      <c r="AN42" s="106"/>
      <c r="AO42" s="107"/>
      <c r="AP42" s="107"/>
      <c r="AQ42" s="79"/>
      <c r="AR42" s="79"/>
      <c r="AS42" s="79"/>
      <c r="AT42" s="79"/>
      <c r="AU42" s="79"/>
      <c r="AV42" s="79"/>
      <c r="AW42" s="79"/>
      <c r="AX42" s="79"/>
      <c r="AY42" s="79"/>
      <c r="AZ42" s="79"/>
      <c r="BA42" s="63"/>
      <c r="BB42" s="108"/>
      <c r="BC42" s="63"/>
      <c r="BD42" s="51" t="n">
        <f aca="false">SUM(N42:Q42)</f>
        <v>0</v>
      </c>
      <c r="BE42" s="59" t="n">
        <f aca="false">IF(AI42="",1,IF(S42&lt;&gt;0,(O42*0.5+R42)/S42,1))</f>
        <v>1</v>
      </c>
      <c r="BF42" s="81" t="str">
        <f aca="false">IF(AH42="","",IF(AH42="Venture",W42,IF(OR(AH42="Chg Goal",AH42="RUn Goal"),V42,IF(OR(AH42="ROutine",AH42="Project"),V42,IF(OR(AH42="Sub",AH42="Stream"),U42,IF(OR(AH42="Drill",AH42="Action"),T42,0))))))</f>
        <v/>
      </c>
      <c r="BG42" s="81" t="str">
        <f aca="false">IF(AH42="","",IF(AH42="Venture",AA42,IF(OR(AH42="Chg Goal",AH42="RUn Goal"),Z42,IF(OR(AH42="ROutine",AH42="Project"),Z42,IF(OR(AH42="Sub",AH42="Stream"),Y42,IF(OR(AH42="Drill",AH42="Action"),X42,0))))))</f>
        <v/>
      </c>
      <c r="BH42" s="109" t="str">
        <f aca="false">IF(AI42="","",IF(OR(BF42=0, BF42=""),0,BG42/BF42))</f>
        <v/>
      </c>
      <c r="BI42" s="110" t="str">
        <f aca="false">IF(    OR(   AND($C42=10000000,    BI$19&gt;=$A$17,      BI$19 &lt;($A$17+$DH$17)   ),   AND($C42&lt;&gt;10000000,  BI$19&gt;=$DW42,    BI$19&lt;=($DX42+$DH$17)  ))   ,$DV42,  "")</f>
        <v/>
      </c>
      <c r="BJ42" s="111" t="str">
        <f aca="false">IF(    OR(   AND($C42=10000000,    $A$17&lt;=BJ$19,      ($A$17+$DH$17)&gt;BJ$19    ),   AND($C42&lt;&gt;10000000,  BJ$19&gt;=$DW42,    BJ$19&lt;=($DX42+$DH$17)  ))   ,$DV42,  "")</f>
        <v/>
      </c>
      <c r="BK42" s="111" t="str">
        <f aca="false">IF(    OR(   AND($C42=10000000,    $A$17&lt;=BK$19,      ($A$17+$DH$17)&gt;BK$19    ),   AND($C42&lt;&gt;10000000,  BK$19&gt;=$DW42,    BK$19&lt;=($DX42+$DH$17)  ))   ,$DV42,  "")</f>
        <v/>
      </c>
      <c r="BL42" s="111" t="str">
        <f aca="false">IF(    OR(   AND($C42=10000000,    $A$17&lt;=BL$19,      ($A$17+$DH$17)&gt;BL$19    ),   AND($C42&lt;&gt;10000000,  BL$19&gt;=$DW42,    BL$19&lt;=($DX42+$DH$17)  ))   ,$DV42,  "")</f>
        <v/>
      </c>
      <c r="BM42" s="111" t="str">
        <f aca="false">IF(    OR(   AND($C42=10000000,    $A$17&lt;=BM$19,      ($A$17+$DH$17)&gt;BM$19    ),   AND($C42&lt;&gt;10000000,  BM$19&gt;=$DW42,    BM$19&lt;=($DX42+$DH$17)  ))   ,$DV42,  "")</f>
        <v/>
      </c>
      <c r="BN42" s="111" t="str">
        <f aca="false">IF(    OR(   AND($C42=10000000,    $A$17&lt;=BN$19,      ($A$17+$DH$17)&gt;BN$19    ),   AND($C42&lt;&gt;10000000,  BN$19&gt;=$DW42,    BN$19&lt;=($DX42+$DH$17)  ))   ,$DV42,  "")</f>
        <v/>
      </c>
      <c r="BO42" s="111" t="str">
        <f aca="false">IF(    OR(   AND($C42=10000000,    $A$17&lt;=BO$19,      ($A$17+$DH$17)&gt;BO$19    ),   AND($C42&lt;&gt;10000000,  BO$19&gt;=$DW42,    BO$19&lt;=($DX42+$DH$17)  ))   ,$DV42,  "")</f>
        <v/>
      </c>
      <c r="BP42" s="111" t="str">
        <f aca="false">IF(    OR(   AND($C42=10000000,    $A$17&lt;=BP$19,      ($A$17+$DH$17)&gt;BP$19    ),   AND($C42&lt;&gt;10000000,  BP$19&gt;=$DW42,    BP$19&lt;=($DX42+$DH$17)  ))   ,$DV42,  "")</f>
        <v/>
      </c>
      <c r="BQ42" s="111" t="str">
        <f aca="false">IF(    OR(   AND($C42=10000000,    $A$17&lt;=BQ$19,      ($A$17+$DH$17)&gt;BQ$19    ),   AND($C42&lt;&gt;10000000,  BQ$19&gt;=$DW42,    BQ$19&lt;=($DX42+$DH$17)  ))   ,$DV42,  "")</f>
        <v/>
      </c>
      <c r="BR42" s="111" t="str">
        <f aca="false">IF(    OR(   AND($C42=10000000,    $A$17&lt;=BR$19,      ($A$17+$DH$17)&gt;BR$19    ),   AND($C42&lt;&gt;10000000,  BR$19&gt;=$DW42,    BR$19&lt;=($DX42+$DH$17)  ))   ,$DV42,  "")</f>
        <v/>
      </c>
      <c r="BS42" s="111" t="str">
        <f aca="false">IF(    OR(   AND($C42=10000000,    $A$17&lt;=BS$19,      ($A$17+$DH$17)&gt;BS$19    ),   AND($C42&lt;&gt;10000000,  BS$19&gt;=$DW42,    BS$19&lt;=($DX42+$DH$17)  ))   ,$DV42,  "")</f>
        <v/>
      </c>
      <c r="BT42" s="111" t="str">
        <f aca="false">IF(    OR(   AND($C42=10000000,    $A$17&lt;=BT$19,      ($A$17+$DH$17)&gt;BT$19    ),   AND($C42&lt;&gt;10000000,  BT$19&gt;=$DW42,    BT$19&lt;=($DX42+$DH$17)  ))   ,$DV42,  "")</f>
        <v/>
      </c>
      <c r="BU42" s="111" t="str">
        <f aca="false">IF(    OR(   AND($C42=10000000,    $A$17&lt;=BU$19,      ($A$17+$DH$17)&gt;BU$19    ),   AND($C42&lt;&gt;10000000,  BU$19&gt;=$DW42,    BU$19&lt;=($DX42+$DH$17)  ))   ,$DV42,  "")</f>
        <v/>
      </c>
      <c r="BV42" s="111" t="str">
        <f aca="false">IF(    OR(   AND($C42=10000000,    $A$17&lt;=BV$19,      ($A$17+$DH$17)&gt;BV$19    ),   AND($C42&lt;&gt;10000000,  BV$19&gt;=$DW42,    BV$19&lt;=($DX42+$DH$17)  ))   ,$DV42,  "")</f>
        <v/>
      </c>
      <c r="BW42" s="111" t="str">
        <f aca="false">IF(    OR(   AND($C42=10000000,    $A$17&lt;=BW$19,      ($A$17+$DH$17)&gt;BW$19    ),   AND($C42&lt;&gt;10000000,  BW$19&gt;=$DW42,    BW$19&lt;=($DX42+$DH$17)  ))   ,$DV42,  "")</f>
        <v/>
      </c>
      <c r="BX42" s="111" t="str">
        <f aca="false">IF(    OR(   AND($C42=10000000,    $A$17&lt;=BX$19,      ($A$17+$DH$17)&gt;BX$19    ),   AND($C42&lt;&gt;10000000,  BX$19&gt;=$DW42,    BX$19&lt;=($DX42+$DH$17)  ))   ,$DV42,  "")</f>
        <v/>
      </c>
      <c r="BY42" s="111" t="str">
        <f aca="false">IF(    OR(   AND($C42=10000000,    $A$17&lt;=BY$19,      ($A$17+$DH$17)&gt;BY$19    ),   AND($C42&lt;&gt;10000000,  BY$19&gt;=$DW42,    BY$19&lt;=($DX42+$DH$17)  ))   ,$DV42,  "")</f>
        <v/>
      </c>
      <c r="BZ42" s="111" t="str">
        <f aca="false">IF(    OR(   AND($C42=10000000,    $A$17&lt;=BZ$19,      ($A$17+$DH$17)&gt;BZ$19    ),   AND($C42&lt;&gt;10000000,  BZ$19&gt;=$DW42,    BZ$19&lt;=($DX42+$DH$17)  ))   ,$DV42,  "")</f>
        <v/>
      </c>
      <c r="CA42" s="111" t="str">
        <f aca="false">IF(    OR(   AND($C42=10000000,    $A$17&lt;=CA$19,      ($A$17+$DH$17)&gt;CA$19    ),   AND($C42&lt;&gt;10000000,  CA$19&gt;=$DW42,    CA$19&lt;=($DX42+$DH$17)  ))   ,$DV42,  "")</f>
        <v/>
      </c>
      <c r="CB42" s="111" t="str">
        <f aca="false">IF(    OR(   AND($C42=10000000,    $A$17&lt;=CB$19,      ($A$17+$DH$17)&gt;CB$19    ),   AND($C42&lt;&gt;10000000,  CB$19&gt;=$DW42,    CB$19&lt;=($DX42+$DH$17)  ))   ,$DV42,  "")</f>
        <v/>
      </c>
      <c r="CC42" s="111" t="str">
        <f aca="false">IF(    OR(   AND($C42=10000000,    $A$17&lt;=CC$19,      ($A$17+$DH$17)&gt;CC$19    ),   AND($C42&lt;&gt;10000000,  CC$19&gt;=$DW42,    CC$19&lt;=($DX42+$DH$17)  ))   ,$DV42,  "")</f>
        <v/>
      </c>
      <c r="CD42" s="111" t="str">
        <f aca="false">IF(    OR(   AND($C42=10000000,    $A$17&lt;=CD$19,      ($A$17+$DH$17)&gt;CD$19    ),   AND($C42&lt;&gt;10000000,  CD$19&gt;=$DW42,    CD$19&lt;=($DX42+$DH$17)  ))   ,$DV42,  "")</f>
        <v/>
      </c>
      <c r="CE42" s="111" t="str">
        <f aca="false">IF(    OR(   AND($C42=10000000,    $A$17&lt;=CE$19,      ($A$17+$DH$17)&gt;CE$19    ),   AND($C42&lt;&gt;10000000,  CE$19&gt;=$DW42,    CE$19&lt;=($DX42+$DH$17)  ))   ,$DV42,  "")</f>
        <v/>
      </c>
      <c r="CF42" s="111" t="str">
        <f aca="false">IF(    OR(   AND($C42=10000000,    $A$17&lt;=CF$19,      ($A$17+$DH$17)&gt;CF$19    ),   AND($C42&lt;&gt;10000000,  CF$19&gt;=$DW42,    CF$19&lt;=($DX42+$DH$17)  ))   ,$DV42,  "")</f>
        <v/>
      </c>
      <c r="CG42" s="111" t="str">
        <f aca="false">IF(    OR(   AND($C42=10000000,    $A$17&lt;=CG$19,      ($A$17+$DH$17)&gt;CG$19    ),   AND($C42&lt;&gt;10000000,  CG$19&gt;=$DW42,    CG$19&lt;=($DX42+$DH$17)  ))   ,$DV42,  "")</f>
        <v/>
      </c>
      <c r="CH42" s="111" t="str">
        <f aca="false">IF(    OR(   AND($C42=10000000,    $A$17&lt;=CH$19,      ($A$17+$DH$17)&gt;CH$19    ),   AND($C42&lt;&gt;10000000,  CH$19&gt;=$DW42,    CH$19&lt;=($DX42+$DH$17)  ))   ,$DV42,  "")</f>
        <v/>
      </c>
      <c r="CI42" s="111" t="str">
        <f aca="false">IF(    OR(   AND($C42=10000000,    $A$17&lt;=CI$19,      ($A$17+$DH$17)&gt;CI$19    ),   AND($C42&lt;&gt;10000000,  CI$19&gt;=$DW42,    CI$19&lt;=($DX42+$DH$17)  ))   ,$DV42,  "")</f>
        <v/>
      </c>
      <c r="CJ42" s="111" t="str">
        <f aca="false">IF(    OR(   AND($C42=10000000,    $A$17&lt;=CJ$19,      ($A$17+$DH$17)&gt;CJ$19    ),   AND($C42&lt;&gt;10000000,  CJ$19&gt;=$DW42,    CJ$19&lt;=($DX42+$DH$17)  ))   ,$DV42,  "")</f>
        <v/>
      </c>
      <c r="CK42" s="111" t="str">
        <f aca="false">IF(    OR(   AND($C42=10000000,    $A$17&lt;=CK$19,      ($A$17+$DH$17)&gt;CK$19    ),   AND($C42&lt;&gt;10000000,  CK$19&gt;=$DW42,    CK$19&lt;=($DX42+$DH$17)  ))   ,$DV42,  "")</f>
        <v/>
      </c>
      <c r="CL42" s="111" t="str">
        <f aca="false">IF(    OR(   AND($C42=10000000,    $A$17&lt;=CL$19,      ($A$17+$DH$17)&gt;CL$19    ),   AND($C42&lt;&gt;10000000,  CL$19&gt;=$DW42,    CL$19&lt;=($DX42+$DH$17)  ))   ,$DV42,  "")</f>
        <v/>
      </c>
      <c r="CM42" s="111" t="str">
        <f aca="false">IF(    OR(   AND($C42=10000000,    $A$17&lt;=CM$19,      ($A$17+$DH$17)&gt;CM$19    ),   AND($C42&lt;&gt;10000000,  CM$19&gt;=$DW42,    CM$19&lt;=($DX42+$DH$17)  ))   ,$DV42,  "")</f>
        <v/>
      </c>
      <c r="CN42" s="111" t="str">
        <f aca="false">IF(    OR(   AND($C42=10000000,    $A$17&lt;=CN$19,      ($A$17+$DH$17)&gt;CN$19    ),   AND($C42&lt;&gt;10000000,  CN$19&gt;=$DW42,    CN$19&lt;=($DX42+$DH$17)  ))   ,$DV42,  "")</f>
        <v/>
      </c>
      <c r="CO42" s="111" t="str">
        <f aca="false">IF(    OR(   AND($C42=10000000,    $A$17&lt;=CO$19,      ($A$17+$DH$17)&gt;CO$19    ),   AND($C42&lt;&gt;10000000,  CO$19&gt;=$DW42,    CO$19&lt;=($DX42+$DH$17)  ))   ,$DV42,  "")</f>
        <v/>
      </c>
      <c r="CP42" s="111" t="str">
        <f aca="false">IF(    OR(   AND($C42=10000000,    $A$17&lt;=CP$19,      ($A$17+$DH$17)&gt;CP$19    ),   AND($C42&lt;&gt;10000000,  CP$19&gt;=$DW42,    CP$19&lt;=($DX42+$DH$17)  ))   ,$DV42,  "")</f>
        <v/>
      </c>
      <c r="CQ42" s="111" t="str">
        <f aca="false">IF(    OR(   AND($C42=10000000,    $A$17&lt;=CQ$19,      ($A$17+$DH$17)&gt;CQ$19    ),   AND($C42&lt;&gt;10000000,  CQ$19&gt;=$DW42,    CQ$19&lt;=($DX42+$DH$17)  ))   ,$DV42,  "")</f>
        <v/>
      </c>
      <c r="CR42" s="111" t="str">
        <f aca="false">IF(    OR(   AND($C42=10000000,    $A$17&lt;=CR$19,      ($A$17+$DH$17)&gt;CR$19    ),   AND($C42&lt;&gt;10000000,  CR$19&gt;=$DW42,    CR$19&lt;=($DX42+$DH$17)  ))   ,$DV42,  "")</f>
        <v/>
      </c>
      <c r="CS42" s="111" t="str">
        <f aca="false">IF(    OR(   AND($C42=10000000,    $A$17&lt;=CS$19,      ($A$17+$DH$17)&gt;CS$19    ),   AND($C42&lt;&gt;10000000,  CS$19&gt;=$DW42,    CS$19&lt;=($DX42+$DH$17)  ))   ,$DV42,  "")</f>
        <v/>
      </c>
      <c r="CT42" s="111" t="str">
        <f aca="false">IF(    OR(   AND($C42=10000000,    $A$17&lt;=CT$19,      ($A$17+$DH$17)&gt;CT$19    ),   AND($C42&lt;&gt;10000000,  CT$19&gt;=$DW42,    CT$19&lt;=($DX42+$DH$17)  ))   ,$DV42,  "")</f>
        <v/>
      </c>
      <c r="CU42" s="111" t="str">
        <f aca="false">IF(    OR(   AND($C42=10000000,    $A$17&lt;=CU$19,      ($A$17+$DH$17)&gt;CU$19    ),   AND($C42&lt;&gt;10000000,  CU$19&gt;=$DW42,    CU$19&lt;=($DX42+$DH$17)  ))   ,$DV42,  "")</f>
        <v/>
      </c>
      <c r="CV42" s="111" t="str">
        <f aca="false">IF(    OR(   AND($C42=10000000,    $A$17&lt;=CV$19,      ($A$17+$DH$17)&gt;CV$19    ),   AND($C42&lt;&gt;10000000,  CV$19&gt;=$DW42,    CV$19&lt;=($DX42+$DH$17)  ))   ,$DV42,  "")</f>
        <v/>
      </c>
      <c r="CW42" s="111" t="str">
        <f aca="false">IF(    OR(   AND($C42=10000000,    $A$17&lt;=CW$19,      ($A$17+$DH$17)&gt;CW$19    ),   AND($C42&lt;&gt;10000000,  CW$19&gt;=$DW42,    CW$19&lt;=($DX42+$DH$17)  ))   ,$DV42,  "")</f>
        <v/>
      </c>
      <c r="CX42" s="111" t="str">
        <f aca="false">IF(    OR(   AND($C42=10000000,    $A$17&lt;=CX$19,      ($A$17+$DH$17)&gt;CX$19    ),   AND($C42&lt;&gt;10000000,  CX$19&gt;=$DW42,    CX$19&lt;=($DX42+$DH$17)  ))   ,$DV42,  "")</f>
        <v/>
      </c>
      <c r="CY42" s="111" t="str">
        <f aca="false">IF(    OR(   AND($C42=10000000,    $A$17&lt;=CY$19,      ($A$17+$DH$17)&gt;CY$19    ),   AND($C42&lt;&gt;10000000,  CY$19&gt;=$DW42,    CY$19&lt;=($DX42+$DH$17)  ))   ,$DV42,  "")</f>
        <v/>
      </c>
      <c r="CZ42" s="111" t="str">
        <f aca="false">IF(    OR(   AND($C42=10000000,    $A$17&lt;=CZ$19,      ($A$17+$DH$17)&gt;CZ$19    ),   AND($C42&lt;&gt;10000000,  CZ$19&gt;=$DW42,    CZ$19&lt;=($DX42+$DH$17)  ))   ,$DV42,  "")</f>
        <v/>
      </c>
      <c r="DA42" s="111" t="str">
        <f aca="false">IF(    OR(   AND($C42=10000000,    $A$17&lt;=DA$19,      ($A$17+$DH$17)&gt;DA$19    ),   AND($C42&lt;&gt;10000000,  DA$19&gt;=$DW42,    DA$19&lt;=($DX42+$DH$17)  ))   ,$DV42,  "")</f>
        <v/>
      </c>
      <c r="DB42" s="111" t="str">
        <f aca="false">IF(    OR(   AND($C42=10000000,    $A$17&lt;=DB$19,      ($A$17+$DH$17)&gt;DB$19    ),   AND($C42&lt;&gt;10000000,  DB$19&gt;=$DW42,    DB$19&lt;=($DX42+$DH$17)  ))   ,$DV42,  "")</f>
        <v/>
      </c>
      <c r="DC42" s="111" t="str">
        <f aca="false">IF(    OR(   AND($C42=10000000,    $A$17&lt;=DC$19,      ($A$17+$DH$17)&gt;DC$19    ),   AND($C42&lt;&gt;10000000,  DC$19&gt;=$DW42,    DC$19&lt;=($DX42+$DH$17)  ))   ,$DV42,  "")</f>
        <v/>
      </c>
      <c r="DD42" s="111" t="str">
        <f aca="false">IF(    OR(   AND($C42=10000000,    $A$17&lt;=DD$19,      ($A$17+$DH$17)&gt;DD$19    ),   AND($C42&lt;&gt;10000000,  DD$19&gt;=$DW42,    DD$19&lt;=($DX42+$DH$17)  ))   ,$DV42,  "")</f>
        <v/>
      </c>
      <c r="DE42" s="111" t="str">
        <f aca="false">IF(    OR(   AND($C42=10000000,    $A$17&lt;=DE$19,      ($A$17+$DH$17)&gt;DE$19    ),   AND($C42&lt;&gt;10000000,  DE$19&gt;=$DW42,    DE$19&lt;=($DX42+$DH$17)  ))   ,$DV42,  "")</f>
        <v/>
      </c>
      <c r="DF42" s="111" t="str">
        <f aca="false">IF(    OR(   AND($C42=10000000,    $A$17&lt;=DF$19,      ($A$17+$DH$17)&gt;DF$19    ),   AND($C42&lt;&gt;10000000,  DF$19&gt;=$DW42,    DF$19&lt;=($DX42+$DH$17)  ))   ,$DV42,  "")</f>
        <v/>
      </c>
      <c r="DG42" s="111" t="str">
        <f aca="false">IF(    OR(   AND($C42=10000000,    $A$17&lt;=DG$19,      ($A$17+$DH$17)&gt;DG$19    ),   AND($C42&lt;&gt;10000000,  DG$19&gt;=$DW42,    DG$19&lt;=($DX42+$DH$17)  ))   ,$DV42,  "")</f>
        <v/>
      </c>
      <c r="DH42" s="111" t="str">
        <f aca="false">IF(    OR(   AND($C42=10000000,    $A$17&lt;=DH$19,      ($A$17+$DH$17)&gt;DH$19    ),   AND($C42&lt;&gt;10000000,  DH$19&gt;=$DW42,    DH$19&lt;=($DX42+$DH$17)  ))   ,$DV42,  "")</f>
        <v/>
      </c>
      <c r="DI42" s="112" t="str">
        <f aca="false">IF(BB42="","",IF(ISERROR(FIND(CHAR(10),BB42,1)),BB42,LEFT(BB42,FIND(CHAR(10),BB42,1))))</f>
        <v/>
      </c>
      <c r="DJ42" s="53" t="str">
        <f aca="false">IF(BB42="","",IFERROR(RIGHT(BB42,LEN(BB42)-FIND("@@@",SUBSTITUTE(BB42,CHAR(10),"@@@",LEN(BB42)-LEN(SUBSTITUTE(BB42,CHAR(10),""))),1)),BB42))</f>
        <v/>
      </c>
      <c r="DK42" s="53" t="str">
        <f aca="false">IF(BC42="","",IFERROR(RIGHT(BC42,LEN(BC42)-FIND("@@@",SUBSTITUTE(BC42,CHAR(10),"@@@",LEN(BC42)-LEN(SUBSTITUTE(BC42,CHAR(10),""))),1)),BC42))</f>
        <v/>
      </c>
      <c r="DL42" s="113" t="str">
        <f aca="false">IFERROR(DATE(("20"&amp;MID(DI42,7,2))*1,MID(DI42,4,2)*1,MID(DI42,1,2)*1),"none")</f>
        <v>none</v>
      </c>
      <c r="DM42" s="113" t="str">
        <f aca="false">IFERROR(DATE(("20"&amp;MID(DJ42,7,2))*1,MID(DJ42,4,2)*1,MID(DJ42,1,2)*1),"none")</f>
        <v>none</v>
      </c>
      <c r="DN42" s="113" t="n">
        <f aca="false">IF(DL42&lt;&gt;"none",DL42,DATE(1900,1,1))</f>
        <v>2</v>
      </c>
      <c r="DO42" s="113" t="n">
        <f aca="false">IF(DM42&lt;&gt;"none",DM42,DN42)</f>
        <v>2</v>
      </c>
      <c r="DP42" s="114" t="n">
        <f aca="false">_xlfn.DAYS($A$17,DN42)</f>
        <v>45332</v>
      </c>
      <c r="DQ42" s="114" t="n">
        <f aca="false">_xlfn.DAYS($A$17, DO42)</f>
        <v>45332</v>
      </c>
      <c r="DR42" s="51" t="n">
        <f aca="false">IF(DO42&lt;&gt;"",INT(DQ42/7),0)</f>
        <v>6476</v>
      </c>
      <c r="DS42" s="114" t="n">
        <f aca="false">IF(M42="Overdue",_xlfn.DAYS($A$17,AL42),0)</f>
        <v>0</v>
      </c>
      <c r="DT42" s="114" t="n">
        <f aca="false">IF(AH42="Project",_xlfn.DAYS(AL42,$A$17),0)</f>
        <v>0</v>
      </c>
      <c r="DU42" s="51" t="str">
        <f aca="false">IFERROR(INDEX(Static!$D$5:$E$11,MATCH(AH42,Static!$D$5:$D$11,0),2),"")</f>
        <v/>
      </c>
      <c r="DV42" s="51" t="str">
        <f aca="false">IF(C42=10000000,"Red",IF(OR(C42=11000000,C42=12000000),"Black",IF(C42=11100000,"Dark",IF(AND(C42=12100000,M42="Completed"),"Green",IF(AND(C42=12100000,M42="Overdue"),"Red",IF(C42=12100000,"Dark",IF(AND(C42=12110000,M42="Overdue"),"LightRed",IF(AND(C42=12110000,M42="Completed"),"LightGreen",IF(OR(C42=11110000,C42=12110000),"Light",IF(AND(C42=12111000,M42="Overdue"),"SoftRed",IF(AND(C42=12111000,M42="Completed"),"SoftGreen",IF(OR(C42=11111000,C42=12111000),"Grey",""))))))))))))</f>
        <v/>
      </c>
      <c r="DW42" s="49" t="n">
        <f aca="false">IF(AK42&lt;&gt;"",AK42,$BI$19)</f>
        <v>44927</v>
      </c>
      <c r="DX42" s="49" t="n">
        <f aca="false">IF(AL42&lt;&gt;"",AL42,$DH$19)</f>
        <v>45657</v>
      </c>
      <c r="DY42" s="79" t="s">
        <v>450</v>
      </c>
    </row>
    <row r="43" customFormat="false" ht="14.15" hidden="false" customHeight="true" outlineLevel="0" collapsed="false">
      <c r="A43" s="63"/>
      <c r="B43" s="53" t="n">
        <f aca="false">AH43</f>
        <v>0</v>
      </c>
      <c r="C43" s="51" t="n">
        <f aca="false">IFERROR(INDEX(Static!$D$5:$F$11,MATCH(AH43,Static!$D$5:$D$11,0),3),90000000)</f>
        <v>90000000</v>
      </c>
      <c r="D43" s="51" t="str">
        <f aca="false">MID(C43,2,1)</f>
        <v>0</v>
      </c>
      <c r="E43" s="53" t="str">
        <f aca="false">AB43</f>
        <v/>
      </c>
      <c r="F43" s="51" t="str">
        <f aca="false">IF(B43="Venture",0,IF(OR(B43="Project",B43="Stream",B43="Action"),AK43,""))</f>
        <v/>
      </c>
      <c r="G43" s="51" t="n">
        <f aca="false">AS43</f>
        <v>0</v>
      </c>
      <c r="H43" s="51" t="str">
        <f aca="false">IF(B43="Venture",0,IFERROR(INDEX($E$20:$F$55,MATCH(G43,$E$20:$E$55,0),2),""))</f>
        <v/>
      </c>
      <c r="I43" s="51" t="str">
        <f aca="false">IF(B43="Venture",0,IFERROR(INDEX($E$20:$G$55,MATCH(G43,$E$20:$E$55,0),3),""))</f>
        <v/>
      </c>
      <c r="J43" s="51" t="str">
        <f aca="false">IF(B43="Venture",0,IFERROR(INDEX($E$20:$H$55,MATCH(G43,$E$20:$E$55,0),4),""))</f>
        <v/>
      </c>
      <c r="K43" s="51" t="n">
        <f aca="false">IF(B43="Venture",0,IFERROR(INDEX($E$20:$G$55,MATCH(I43,$E$20:$E$55,0),3),""))</f>
        <v>0</v>
      </c>
      <c r="L43" s="51" t="str">
        <f aca="false">IF(M43="Completed","Completed","Ongoing")</f>
        <v>Ongoing</v>
      </c>
      <c r="M43" s="51" t="n">
        <f aca="false">IF(OR(AH43="Venture",AH43="Routine",AH43="Run Goal", AH43="Chg Goal", AH43=""),AH43,IF(AN43&lt;&gt;"","Completed",IF(AM43&lt;&gt;"","Pending",IF(AND(AL43&lt;&gt;"",$A$17&gt;AL43),"Overdue",IF($A$17&gt;AK43,"Started","Open")))))</f>
        <v>0</v>
      </c>
      <c r="N43" s="50" t="n">
        <f aca="false">((LEN($BC43)-LEN(SUBSTITUTE($BC43,CHAR(10)&amp;". ","")))/3)+IF(LEFT(TRIM($BC43),2)=". ",1,0)</f>
        <v>0</v>
      </c>
      <c r="O43" s="50" t="n">
        <f aca="false">((LEN($BC43)-LEN(SUBSTITUTE($BC43,CHAR(10)&amp;"/ ","")))/3)+IF(LEFT(TRIM($BC43),2)="/ ",1,0)</f>
        <v>0</v>
      </c>
      <c r="P43" s="50" t="n">
        <f aca="false">((LEN($BC43)-LEN(SUBSTITUTE($BC43,CHAR(10)&amp;"~ ","")))/3)+IF(LEFT(TRIM($BC43),2)="~ ",1,0)</f>
        <v>0</v>
      </c>
      <c r="Q43" s="50" t="n">
        <f aca="false">((LEN($BC43)-LEN(SUBSTITUTE($BC43,CHAR(10)&amp;"! ","")))/3)+IF(LEFT(TRIM($BC43),2)="! ",1,0)</f>
        <v>0</v>
      </c>
      <c r="R43" s="50" t="n">
        <f aca="false">((LEN($BC43)-LEN(SUBSTITUTE($BC43,CHAR(10)&amp;"x ","")))/3)+IF(LEFT(TRIM($BC43),2)="x ",1,0)</f>
        <v>0</v>
      </c>
      <c r="S43" s="50" t="n">
        <f aca="false">SUM(N43:R43)</f>
        <v>0</v>
      </c>
      <c r="T43" s="51" t="n">
        <f aca="false">IF(OR($B43="Drill",$B43="Action"),$AO43,0)</f>
        <v>0</v>
      </c>
      <c r="U43" s="51" t="n">
        <f aca="false">IF(OR($B43="Sub",$B43="Stream"),$AO43+SUMIFS($AO$20:$AO$55,$G$20:$G$55,$E43),0)</f>
        <v>0</v>
      </c>
      <c r="V43" s="51" t="n">
        <f aca="false">IF(OR($B43="Routine",$B43="Project"),$AO43+SUMIFS($U$20:$U$55,$G$20:$G$55,$E43),0)</f>
        <v>0</v>
      </c>
      <c r="W43" s="51" t="n">
        <f aca="false">IF($B43="Venture",$AO43+SUMIFS($V$20:$V$55,$G$20:$G$55,$E43),0)</f>
        <v>0</v>
      </c>
      <c r="X43" s="51" t="n">
        <f aca="false">IF(OR($B43="Drill",$B43="Action"),$AP43,0)</f>
        <v>0</v>
      </c>
      <c r="Y43" s="51" t="n">
        <f aca="false">IF(OR($B43="Sub",$B43="Stream"),$AP43+SUMIFS($AP$20:$AP$55,$G$20:$G$55,$E43),0)</f>
        <v>0</v>
      </c>
      <c r="Z43" s="51" t="n">
        <f aca="false">IF(OR($B43="Routine",$B43="Project"),$AP43+SUMIFS($Y$20:$Y$55,$G$20:$G$55,$E43),0)</f>
        <v>0</v>
      </c>
      <c r="AA43" s="51" t="n">
        <f aca="false">IF($B43="Venture",$AP43+SUMIFS($Z$20:$Z$55,$G$20:$G$55,$E43),0)</f>
        <v>0</v>
      </c>
      <c r="AB43" s="51" t="str">
        <f aca="false">IF(OR(AH43="Venture", AH43="Run Goal", AH43="Chg Goal"),AI43,AH43&amp;AI43&amp;AR43)</f>
        <v/>
      </c>
      <c r="AC43" s="53" t="str">
        <f aca="false">"  -  "&amp;IF(C43=90000000,9&amp;"Z",D43&amp;AE43&amp;IF(OR(B43="Run Goal",B43="Chg Goal", B43="Venture"),"",IF(OR(B43="Routine",B43="Project"),F43&amp;E43,  IF(OR(B43="Sub",B43="Stream"),H43&amp;G43&amp;F43&amp;E43,IF(OR(B43="Drill",B43="Action"),J43&amp;I43&amp;H43&amp;G43&amp;F43&amp;E43,     "") )    )))</f>
        <v>  -  9Z</v>
      </c>
      <c r="AD43" s="51" t="str">
        <f aca="false">IF(AND(AM43="",AN43=""),"Y","N")</f>
        <v>Y</v>
      </c>
      <c r="AE43" s="103" t="str">
        <f aca="false">IF(OR(AF43="Y",AF43="Y"),AF43,IF(DM43="none","N",IF(DM43&gt;($A$17-WEEKDAY($A$17,2)-(7*$AE$18)),"Y","N")))</f>
        <v>N</v>
      </c>
      <c r="AF43" s="104"/>
      <c r="AG43" s="105"/>
      <c r="AH43" s="79"/>
      <c r="AI43" s="56"/>
      <c r="AJ43" s="56"/>
      <c r="AK43" s="106"/>
      <c r="AL43" s="106"/>
      <c r="AM43" s="106"/>
      <c r="AN43" s="106"/>
      <c r="AO43" s="107"/>
      <c r="AP43" s="107"/>
      <c r="AQ43" s="79"/>
      <c r="AR43" s="79"/>
      <c r="AS43" s="79"/>
      <c r="AT43" s="79"/>
      <c r="AU43" s="79"/>
      <c r="AV43" s="79"/>
      <c r="AW43" s="79"/>
      <c r="AX43" s="79"/>
      <c r="AY43" s="79"/>
      <c r="AZ43" s="79"/>
      <c r="BA43" s="63"/>
      <c r="BB43" s="108"/>
      <c r="BC43" s="63"/>
      <c r="BD43" s="51" t="n">
        <f aca="false">SUM(N43:Q43)</f>
        <v>0</v>
      </c>
      <c r="BE43" s="59" t="n">
        <f aca="false">IF(AI43="",1,IF(S43&lt;&gt;0,(O43*0.5+R43)/S43,1))</f>
        <v>1</v>
      </c>
      <c r="BF43" s="81" t="str">
        <f aca="false">IF(AH43="","",IF(AH43="Venture",W43,IF(OR(AH43="Chg Goal",AH43="RUn Goal"),V43,IF(OR(AH43="ROutine",AH43="Project"),V43,IF(OR(AH43="Sub",AH43="Stream"),U43,IF(OR(AH43="Drill",AH43="Action"),T43,0))))))</f>
        <v/>
      </c>
      <c r="BG43" s="81" t="str">
        <f aca="false">IF(AH43="","",IF(AH43="Venture",AA43,IF(OR(AH43="Chg Goal",AH43="RUn Goal"),Z43,IF(OR(AH43="ROutine",AH43="Project"),Z43,IF(OR(AH43="Sub",AH43="Stream"),Y43,IF(OR(AH43="Drill",AH43="Action"),X43,0))))))</f>
        <v/>
      </c>
      <c r="BH43" s="109" t="str">
        <f aca="false">IF(AI43="","",IF(OR(BF43=0, BF43=""),0,BG43/BF43))</f>
        <v/>
      </c>
      <c r="BI43" s="110" t="str">
        <f aca="false">IF(    OR(   AND($C43=10000000,    BI$19&gt;=$A$17,      BI$19 &lt;($A$17+$DH$17)   ),   AND($C43&lt;&gt;10000000,  BI$19&gt;=$DW43,    BI$19&lt;=($DX43+$DH$17)  ))   ,$DV43,  "")</f>
        <v/>
      </c>
      <c r="BJ43" s="111" t="str">
        <f aca="false">IF(    OR(   AND($C43=10000000,    $A$17&lt;=BJ$19,      ($A$17+$DH$17)&gt;BJ$19    ),   AND($C43&lt;&gt;10000000,  BJ$19&gt;=$DW43,    BJ$19&lt;=($DX43+$DH$17)  ))   ,$DV43,  "")</f>
        <v/>
      </c>
      <c r="BK43" s="111" t="str">
        <f aca="false">IF(    OR(   AND($C43=10000000,    $A$17&lt;=BK$19,      ($A$17+$DH$17)&gt;BK$19    ),   AND($C43&lt;&gt;10000000,  BK$19&gt;=$DW43,    BK$19&lt;=($DX43+$DH$17)  ))   ,$DV43,  "")</f>
        <v/>
      </c>
      <c r="BL43" s="111" t="str">
        <f aca="false">IF(    OR(   AND($C43=10000000,    $A$17&lt;=BL$19,      ($A$17+$DH$17)&gt;BL$19    ),   AND($C43&lt;&gt;10000000,  BL$19&gt;=$DW43,    BL$19&lt;=($DX43+$DH$17)  ))   ,$DV43,  "")</f>
        <v/>
      </c>
      <c r="BM43" s="111" t="str">
        <f aca="false">IF(    OR(   AND($C43=10000000,    $A$17&lt;=BM$19,      ($A$17+$DH$17)&gt;BM$19    ),   AND($C43&lt;&gt;10000000,  BM$19&gt;=$DW43,    BM$19&lt;=($DX43+$DH$17)  ))   ,$DV43,  "")</f>
        <v/>
      </c>
      <c r="BN43" s="111" t="str">
        <f aca="false">IF(    OR(   AND($C43=10000000,    $A$17&lt;=BN$19,      ($A$17+$DH$17)&gt;BN$19    ),   AND($C43&lt;&gt;10000000,  BN$19&gt;=$DW43,    BN$19&lt;=($DX43+$DH$17)  ))   ,$DV43,  "")</f>
        <v/>
      </c>
      <c r="BO43" s="111" t="str">
        <f aca="false">IF(    OR(   AND($C43=10000000,    $A$17&lt;=BO$19,      ($A$17+$DH$17)&gt;BO$19    ),   AND($C43&lt;&gt;10000000,  BO$19&gt;=$DW43,    BO$19&lt;=($DX43+$DH$17)  ))   ,$DV43,  "")</f>
        <v/>
      </c>
      <c r="BP43" s="111" t="str">
        <f aca="false">IF(    OR(   AND($C43=10000000,    $A$17&lt;=BP$19,      ($A$17+$DH$17)&gt;BP$19    ),   AND($C43&lt;&gt;10000000,  BP$19&gt;=$DW43,    BP$19&lt;=($DX43+$DH$17)  ))   ,$DV43,  "")</f>
        <v/>
      </c>
      <c r="BQ43" s="111" t="str">
        <f aca="false">IF(    OR(   AND($C43=10000000,    $A$17&lt;=BQ$19,      ($A$17+$DH$17)&gt;BQ$19    ),   AND($C43&lt;&gt;10000000,  BQ$19&gt;=$DW43,    BQ$19&lt;=($DX43+$DH$17)  ))   ,$DV43,  "")</f>
        <v/>
      </c>
      <c r="BR43" s="111" t="str">
        <f aca="false">IF(    OR(   AND($C43=10000000,    $A$17&lt;=BR$19,      ($A$17+$DH$17)&gt;BR$19    ),   AND($C43&lt;&gt;10000000,  BR$19&gt;=$DW43,    BR$19&lt;=($DX43+$DH$17)  ))   ,$DV43,  "")</f>
        <v/>
      </c>
      <c r="BS43" s="111" t="str">
        <f aca="false">IF(    OR(   AND($C43=10000000,    $A$17&lt;=BS$19,      ($A$17+$DH$17)&gt;BS$19    ),   AND($C43&lt;&gt;10000000,  BS$19&gt;=$DW43,    BS$19&lt;=($DX43+$DH$17)  ))   ,$DV43,  "")</f>
        <v/>
      </c>
      <c r="BT43" s="111" t="str">
        <f aca="false">IF(    OR(   AND($C43=10000000,    $A$17&lt;=BT$19,      ($A$17+$DH$17)&gt;BT$19    ),   AND($C43&lt;&gt;10000000,  BT$19&gt;=$DW43,    BT$19&lt;=($DX43+$DH$17)  ))   ,$DV43,  "")</f>
        <v/>
      </c>
      <c r="BU43" s="111" t="str">
        <f aca="false">IF(    OR(   AND($C43=10000000,    $A$17&lt;=BU$19,      ($A$17+$DH$17)&gt;BU$19    ),   AND($C43&lt;&gt;10000000,  BU$19&gt;=$DW43,    BU$19&lt;=($DX43+$DH$17)  ))   ,$DV43,  "")</f>
        <v/>
      </c>
      <c r="BV43" s="111" t="str">
        <f aca="false">IF(    OR(   AND($C43=10000000,    $A$17&lt;=BV$19,      ($A$17+$DH$17)&gt;BV$19    ),   AND($C43&lt;&gt;10000000,  BV$19&gt;=$DW43,    BV$19&lt;=($DX43+$DH$17)  ))   ,$DV43,  "")</f>
        <v/>
      </c>
      <c r="BW43" s="111" t="str">
        <f aca="false">IF(    OR(   AND($C43=10000000,    $A$17&lt;=BW$19,      ($A$17+$DH$17)&gt;BW$19    ),   AND($C43&lt;&gt;10000000,  BW$19&gt;=$DW43,    BW$19&lt;=($DX43+$DH$17)  ))   ,$DV43,  "")</f>
        <v/>
      </c>
      <c r="BX43" s="111" t="str">
        <f aca="false">IF(    OR(   AND($C43=10000000,    $A$17&lt;=BX$19,      ($A$17+$DH$17)&gt;BX$19    ),   AND($C43&lt;&gt;10000000,  BX$19&gt;=$DW43,    BX$19&lt;=($DX43+$DH$17)  ))   ,$DV43,  "")</f>
        <v/>
      </c>
      <c r="BY43" s="111" t="str">
        <f aca="false">IF(    OR(   AND($C43=10000000,    $A$17&lt;=BY$19,      ($A$17+$DH$17)&gt;BY$19    ),   AND($C43&lt;&gt;10000000,  BY$19&gt;=$DW43,    BY$19&lt;=($DX43+$DH$17)  ))   ,$DV43,  "")</f>
        <v/>
      </c>
      <c r="BZ43" s="111" t="str">
        <f aca="false">IF(    OR(   AND($C43=10000000,    $A$17&lt;=BZ$19,      ($A$17+$DH$17)&gt;BZ$19    ),   AND($C43&lt;&gt;10000000,  BZ$19&gt;=$DW43,    BZ$19&lt;=($DX43+$DH$17)  ))   ,$DV43,  "")</f>
        <v/>
      </c>
      <c r="CA43" s="111" t="str">
        <f aca="false">IF(    OR(   AND($C43=10000000,    $A$17&lt;=CA$19,      ($A$17+$DH$17)&gt;CA$19    ),   AND($C43&lt;&gt;10000000,  CA$19&gt;=$DW43,    CA$19&lt;=($DX43+$DH$17)  ))   ,$DV43,  "")</f>
        <v/>
      </c>
      <c r="CB43" s="111" t="str">
        <f aca="false">IF(    OR(   AND($C43=10000000,    $A$17&lt;=CB$19,      ($A$17+$DH$17)&gt;CB$19    ),   AND($C43&lt;&gt;10000000,  CB$19&gt;=$DW43,    CB$19&lt;=($DX43+$DH$17)  ))   ,$DV43,  "")</f>
        <v/>
      </c>
      <c r="CC43" s="111" t="str">
        <f aca="false">IF(    OR(   AND($C43=10000000,    $A$17&lt;=CC$19,      ($A$17+$DH$17)&gt;CC$19    ),   AND($C43&lt;&gt;10000000,  CC$19&gt;=$DW43,    CC$19&lt;=($DX43+$DH$17)  ))   ,$DV43,  "")</f>
        <v/>
      </c>
      <c r="CD43" s="111" t="str">
        <f aca="false">IF(    OR(   AND($C43=10000000,    $A$17&lt;=CD$19,      ($A$17+$DH$17)&gt;CD$19    ),   AND($C43&lt;&gt;10000000,  CD$19&gt;=$DW43,    CD$19&lt;=($DX43+$DH$17)  ))   ,$DV43,  "")</f>
        <v/>
      </c>
      <c r="CE43" s="111" t="str">
        <f aca="false">IF(    OR(   AND($C43=10000000,    $A$17&lt;=CE$19,      ($A$17+$DH$17)&gt;CE$19    ),   AND($C43&lt;&gt;10000000,  CE$19&gt;=$DW43,    CE$19&lt;=($DX43+$DH$17)  ))   ,$DV43,  "")</f>
        <v/>
      </c>
      <c r="CF43" s="111" t="str">
        <f aca="false">IF(    OR(   AND($C43=10000000,    $A$17&lt;=CF$19,      ($A$17+$DH$17)&gt;CF$19    ),   AND($C43&lt;&gt;10000000,  CF$19&gt;=$DW43,    CF$19&lt;=($DX43+$DH$17)  ))   ,$DV43,  "")</f>
        <v/>
      </c>
      <c r="CG43" s="111" t="str">
        <f aca="false">IF(    OR(   AND($C43=10000000,    $A$17&lt;=CG$19,      ($A$17+$DH$17)&gt;CG$19    ),   AND($C43&lt;&gt;10000000,  CG$19&gt;=$DW43,    CG$19&lt;=($DX43+$DH$17)  ))   ,$DV43,  "")</f>
        <v/>
      </c>
      <c r="CH43" s="111" t="str">
        <f aca="false">IF(    OR(   AND($C43=10000000,    $A$17&lt;=CH$19,      ($A$17+$DH$17)&gt;CH$19    ),   AND($C43&lt;&gt;10000000,  CH$19&gt;=$DW43,    CH$19&lt;=($DX43+$DH$17)  ))   ,$DV43,  "")</f>
        <v/>
      </c>
      <c r="CI43" s="111" t="str">
        <f aca="false">IF(    OR(   AND($C43=10000000,    $A$17&lt;=CI$19,      ($A$17+$DH$17)&gt;CI$19    ),   AND($C43&lt;&gt;10000000,  CI$19&gt;=$DW43,    CI$19&lt;=($DX43+$DH$17)  ))   ,$DV43,  "")</f>
        <v/>
      </c>
      <c r="CJ43" s="111" t="str">
        <f aca="false">IF(    OR(   AND($C43=10000000,    $A$17&lt;=CJ$19,      ($A$17+$DH$17)&gt;CJ$19    ),   AND($C43&lt;&gt;10000000,  CJ$19&gt;=$DW43,    CJ$19&lt;=($DX43+$DH$17)  ))   ,$DV43,  "")</f>
        <v/>
      </c>
      <c r="CK43" s="111" t="str">
        <f aca="false">IF(    OR(   AND($C43=10000000,    $A$17&lt;=CK$19,      ($A$17+$DH$17)&gt;CK$19    ),   AND($C43&lt;&gt;10000000,  CK$19&gt;=$DW43,    CK$19&lt;=($DX43+$DH$17)  ))   ,$DV43,  "")</f>
        <v/>
      </c>
      <c r="CL43" s="111" t="str">
        <f aca="false">IF(    OR(   AND($C43=10000000,    $A$17&lt;=CL$19,      ($A$17+$DH$17)&gt;CL$19    ),   AND($C43&lt;&gt;10000000,  CL$19&gt;=$DW43,    CL$19&lt;=($DX43+$DH$17)  ))   ,$DV43,  "")</f>
        <v/>
      </c>
      <c r="CM43" s="111" t="str">
        <f aca="false">IF(    OR(   AND($C43=10000000,    $A$17&lt;=CM$19,      ($A$17+$DH$17)&gt;CM$19    ),   AND($C43&lt;&gt;10000000,  CM$19&gt;=$DW43,    CM$19&lt;=($DX43+$DH$17)  ))   ,$DV43,  "")</f>
        <v/>
      </c>
      <c r="CN43" s="111" t="str">
        <f aca="false">IF(    OR(   AND($C43=10000000,    $A$17&lt;=CN$19,      ($A$17+$DH$17)&gt;CN$19    ),   AND($C43&lt;&gt;10000000,  CN$19&gt;=$DW43,    CN$19&lt;=($DX43+$DH$17)  ))   ,$DV43,  "")</f>
        <v/>
      </c>
      <c r="CO43" s="111" t="str">
        <f aca="false">IF(    OR(   AND($C43=10000000,    $A$17&lt;=CO$19,      ($A$17+$DH$17)&gt;CO$19    ),   AND($C43&lt;&gt;10000000,  CO$19&gt;=$DW43,    CO$19&lt;=($DX43+$DH$17)  ))   ,$DV43,  "")</f>
        <v/>
      </c>
      <c r="CP43" s="111" t="str">
        <f aca="false">IF(    OR(   AND($C43=10000000,    $A$17&lt;=CP$19,      ($A$17+$DH$17)&gt;CP$19    ),   AND($C43&lt;&gt;10000000,  CP$19&gt;=$DW43,    CP$19&lt;=($DX43+$DH$17)  ))   ,$DV43,  "")</f>
        <v/>
      </c>
      <c r="CQ43" s="111" t="str">
        <f aca="false">IF(    OR(   AND($C43=10000000,    $A$17&lt;=CQ$19,      ($A$17+$DH$17)&gt;CQ$19    ),   AND($C43&lt;&gt;10000000,  CQ$19&gt;=$DW43,    CQ$19&lt;=($DX43+$DH$17)  ))   ,$DV43,  "")</f>
        <v/>
      </c>
      <c r="CR43" s="111" t="str">
        <f aca="false">IF(    OR(   AND($C43=10000000,    $A$17&lt;=CR$19,      ($A$17+$DH$17)&gt;CR$19    ),   AND($C43&lt;&gt;10000000,  CR$19&gt;=$DW43,    CR$19&lt;=($DX43+$DH$17)  ))   ,$DV43,  "")</f>
        <v/>
      </c>
      <c r="CS43" s="111" t="str">
        <f aca="false">IF(    OR(   AND($C43=10000000,    $A$17&lt;=CS$19,      ($A$17+$DH$17)&gt;CS$19    ),   AND($C43&lt;&gt;10000000,  CS$19&gt;=$DW43,    CS$19&lt;=($DX43+$DH$17)  ))   ,$DV43,  "")</f>
        <v/>
      </c>
      <c r="CT43" s="111" t="str">
        <f aca="false">IF(    OR(   AND($C43=10000000,    $A$17&lt;=CT$19,      ($A$17+$DH$17)&gt;CT$19    ),   AND($C43&lt;&gt;10000000,  CT$19&gt;=$DW43,    CT$19&lt;=($DX43+$DH$17)  ))   ,$DV43,  "")</f>
        <v/>
      </c>
      <c r="CU43" s="111" t="str">
        <f aca="false">IF(    OR(   AND($C43=10000000,    $A$17&lt;=CU$19,      ($A$17+$DH$17)&gt;CU$19    ),   AND($C43&lt;&gt;10000000,  CU$19&gt;=$DW43,    CU$19&lt;=($DX43+$DH$17)  ))   ,$DV43,  "")</f>
        <v/>
      </c>
      <c r="CV43" s="111" t="str">
        <f aca="false">IF(    OR(   AND($C43=10000000,    $A$17&lt;=CV$19,      ($A$17+$DH$17)&gt;CV$19    ),   AND($C43&lt;&gt;10000000,  CV$19&gt;=$DW43,    CV$19&lt;=($DX43+$DH$17)  ))   ,$DV43,  "")</f>
        <v/>
      </c>
      <c r="CW43" s="111" t="str">
        <f aca="false">IF(    OR(   AND($C43=10000000,    $A$17&lt;=CW$19,      ($A$17+$DH$17)&gt;CW$19    ),   AND($C43&lt;&gt;10000000,  CW$19&gt;=$DW43,    CW$19&lt;=($DX43+$DH$17)  ))   ,$DV43,  "")</f>
        <v/>
      </c>
      <c r="CX43" s="111" t="str">
        <f aca="false">IF(    OR(   AND($C43=10000000,    $A$17&lt;=CX$19,      ($A$17+$DH$17)&gt;CX$19    ),   AND($C43&lt;&gt;10000000,  CX$19&gt;=$DW43,    CX$19&lt;=($DX43+$DH$17)  ))   ,$DV43,  "")</f>
        <v/>
      </c>
      <c r="CY43" s="111" t="str">
        <f aca="false">IF(    OR(   AND($C43=10000000,    $A$17&lt;=CY$19,      ($A$17+$DH$17)&gt;CY$19    ),   AND($C43&lt;&gt;10000000,  CY$19&gt;=$DW43,    CY$19&lt;=($DX43+$DH$17)  ))   ,$DV43,  "")</f>
        <v/>
      </c>
      <c r="CZ43" s="111" t="str">
        <f aca="false">IF(    OR(   AND($C43=10000000,    $A$17&lt;=CZ$19,      ($A$17+$DH$17)&gt;CZ$19    ),   AND($C43&lt;&gt;10000000,  CZ$19&gt;=$DW43,    CZ$19&lt;=($DX43+$DH$17)  ))   ,$DV43,  "")</f>
        <v/>
      </c>
      <c r="DA43" s="111" t="str">
        <f aca="false">IF(    OR(   AND($C43=10000000,    $A$17&lt;=DA$19,      ($A$17+$DH$17)&gt;DA$19    ),   AND($C43&lt;&gt;10000000,  DA$19&gt;=$DW43,    DA$19&lt;=($DX43+$DH$17)  ))   ,$DV43,  "")</f>
        <v/>
      </c>
      <c r="DB43" s="111" t="str">
        <f aca="false">IF(    OR(   AND($C43=10000000,    $A$17&lt;=DB$19,      ($A$17+$DH$17)&gt;DB$19    ),   AND($C43&lt;&gt;10000000,  DB$19&gt;=$DW43,    DB$19&lt;=($DX43+$DH$17)  ))   ,$DV43,  "")</f>
        <v/>
      </c>
      <c r="DC43" s="111" t="str">
        <f aca="false">IF(    OR(   AND($C43=10000000,    $A$17&lt;=DC$19,      ($A$17+$DH$17)&gt;DC$19    ),   AND($C43&lt;&gt;10000000,  DC$19&gt;=$DW43,    DC$19&lt;=($DX43+$DH$17)  ))   ,$DV43,  "")</f>
        <v/>
      </c>
      <c r="DD43" s="111" t="str">
        <f aca="false">IF(    OR(   AND($C43=10000000,    $A$17&lt;=DD$19,      ($A$17+$DH$17)&gt;DD$19    ),   AND($C43&lt;&gt;10000000,  DD$19&gt;=$DW43,    DD$19&lt;=($DX43+$DH$17)  ))   ,$DV43,  "")</f>
        <v/>
      </c>
      <c r="DE43" s="111" t="str">
        <f aca="false">IF(    OR(   AND($C43=10000000,    $A$17&lt;=DE$19,      ($A$17+$DH$17)&gt;DE$19    ),   AND($C43&lt;&gt;10000000,  DE$19&gt;=$DW43,    DE$19&lt;=($DX43+$DH$17)  ))   ,$DV43,  "")</f>
        <v/>
      </c>
      <c r="DF43" s="111" t="str">
        <f aca="false">IF(    OR(   AND($C43=10000000,    $A$17&lt;=DF$19,      ($A$17+$DH$17)&gt;DF$19    ),   AND($C43&lt;&gt;10000000,  DF$19&gt;=$DW43,    DF$19&lt;=($DX43+$DH$17)  ))   ,$DV43,  "")</f>
        <v/>
      </c>
      <c r="DG43" s="111" t="str">
        <f aca="false">IF(    OR(   AND($C43=10000000,    $A$17&lt;=DG$19,      ($A$17+$DH$17)&gt;DG$19    ),   AND($C43&lt;&gt;10000000,  DG$19&gt;=$DW43,    DG$19&lt;=($DX43+$DH$17)  ))   ,$DV43,  "")</f>
        <v/>
      </c>
      <c r="DH43" s="111" t="str">
        <f aca="false">IF(    OR(   AND($C43=10000000,    $A$17&lt;=DH$19,      ($A$17+$DH$17)&gt;DH$19    ),   AND($C43&lt;&gt;10000000,  DH$19&gt;=$DW43,    DH$19&lt;=($DX43+$DH$17)  ))   ,$DV43,  "")</f>
        <v/>
      </c>
      <c r="DI43" s="112" t="str">
        <f aca="false">IF(BB43="","",IF(ISERROR(FIND(CHAR(10),BB43,1)),BB43,LEFT(BB43,FIND(CHAR(10),BB43,1))))</f>
        <v/>
      </c>
      <c r="DJ43" s="53" t="str">
        <f aca="false">IF(BB43="","",IFERROR(RIGHT(BB43,LEN(BB43)-FIND("@@@",SUBSTITUTE(BB43,CHAR(10),"@@@",LEN(BB43)-LEN(SUBSTITUTE(BB43,CHAR(10),""))),1)),BB43))</f>
        <v/>
      </c>
      <c r="DK43" s="53" t="str">
        <f aca="false">IF(BC43="","",IFERROR(RIGHT(BC43,LEN(BC43)-FIND("@@@",SUBSTITUTE(BC43,CHAR(10),"@@@",LEN(BC43)-LEN(SUBSTITUTE(BC43,CHAR(10),""))),1)),BC43))</f>
        <v/>
      </c>
      <c r="DL43" s="113" t="str">
        <f aca="false">IFERROR(DATE(("20"&amp;MID(DI43,7,2))*1,MID(DI43,4,2)*1,MID(DI43,1,2)*1),"none")</f>
        <v>none</v>
      </c>
      <c r="DM43" s="113" t="str">
        <f aca="false">IFERROR(DATE(("20"&amp;MID(DJ43,7,2))*1,MID(DJ43,4,2)*1,MID(DJ43,1,2)*1),"none")</f>
        <v>none</v>
      </c>
      <c r="DN43" s="113" t="n">
        <f aca="false">IF(DL43&lt;&gt;"none",DL43,DATE(1900,1,1))</f>
        <v>2</v>
      </c>
      <c r="DO43" s="113" t="n">
        <f aca="false">IF(DM43&lt;&gt;"none",DM43,DN43)</f>
        <v>2</v>
      </c>
      <c r="DP43" s="114" t="n">
        <f aca="false">_xlfn.DAYS($A$17,DN43)</f>
        <v>45332</v>
      </c>
      <c r="DQ43" s="114" t="n">
        <f aca="false">_xlfn.DAYS($A$17, DO43)</f>
        <v>45332</v>
      </c>
      <c r="DR43" s="51" t="n">
        <f aca="false">IF(DO43&lt;&gt;"",INT(DQ43/7),0)</f>
        <v>6476</v>
      </c>
      <c r="DS43" s="114" t="n">
        <f aca="false">IF(M43="Overdue",_xlfn.DAYS($A$17,AL43),0)</f>
        <v>0</v>
      </c>
      <c r="DT43" s="114" t="n">
        <f aca="false">IF(AH43="Project",_xlfn.DAYS(AL43,$A$17),0)</f>
        <v>0</v>
      </c>
      <c r="DU43" s="51" t="str">
        <f aca="false">IFERROR(INDEX(Static!$D$5:$E$11,MATCH(AH43,Static!$D$5:$D$11,0),2),"")</f>
        <v/>
      </c>
      <c r="DV43" s="51" t="str">
        <f aca="false">IF(C43=10000000,"Red",IF(OR(C43=11000000,C43=12000000),"Black",IF(C43=11100000,"Dark",IF(AND(C43=12100000,M43="Completed"),"Green",IF(AND(C43=12100000,M43="Overdue"),"Red",IF(C43=12100000,"Dark",IF(AND(C43=12110000,M43="Overdue"),"LightRed",IF(AND(C43=12110000,M43="Completed"),"LightGreen",IF(OR(C43=11110000,C43=12110000),"Light",IF(AND(C43=12111000,M43="Overdue"),"SoftRed",IF(AND(C43=12111000,M43="Completed"),"SoftGreen",IF(OR(C43=11111000,C43=12111000),"Grey",""))))))))))))</f>
        <v/>
      </c>
      <c r="DW43" s="49" t="n">
        <f aca="false">IF(AK43&lt;&gt;"",AK43,$BI$19)</f>
        <v>44927</v>
      </c>
      <c r="DX43" s="49" t="n">
        <f aca="false">IF(AL43&lt;&gt;"",AL43,$DH$19)</f>
        <v>45657</v>
      </c>
      <c r="DY43" s="79" t="s">
        <v>450</v>
      </c>
    </row>
    <row r="44" customFormat="false" ht="14.15" hidden="false" customHeight="true" outlineLevel="0" collapsed="false">
      <c r="A44" s="63"/>
      <c r="B44" s="53" t="n">
        <f aca="false">AH44</f>
        <v>0</v>
      </c>
      <c r="C44" s="51" t="n">
        <f aca="false">IFERROR(INDEX(Static!$D$5:$F$11,MATCH(AH44,Static!$D$5:$D$11,0),3),90000000)</f>
        <v>90000000</v>
      </c>
      <c r="D44" s="51" t="str">
        <f aca="false">MID(C44,2,1)</f>
        <v>0</v>
      </c>
      <c r="E44" s="53" t="str">
        <f aca="false">AB44</f>
        <v/>
      </c>
      <c r="F44" s="51" t="str">
        <f aca="false">IF(B44="Venture",0,IF(OR(B44="Project",B44="Stream",B44="Action"),AK44,""))</f>
        <v/>
      </c>
      <c r="G44" s="51" t="n">
        <f aca="false">AS44</f>
        <v>0</v>
      </c>
      <c r="H44" s="51" t="str">
        <f aca="false">IF(B44="Venture",0,IFERROR(INDEX($E$20:$F$55,MATCH(G44,$E$20:$E$55,0),2),""))</f>
        <v/>
      </c>
      <c r="I44" s="51" t="str">
        <f aca="false">IF(B44="Venture",0,IFERROR(INDEX($E$20:$G$55,MATCH(G44,$E$20:$E$55,0),3),""))</f>
        <v/>
      </c>
      <c r="J44" s="51" t="str">
        <f aca="false">IF(B44="Venture",0,IFERROR(INDEX($E$20:$H$55,MATCH(G44,$E$20:$E$55,0),4),""))</f>
        <v/>
      </c>
      <c r="K44" s="51" t="n">
        <f aca="false">IF(B44="Venture",0,IFERROR(INDEX($E$20:$G$55,MATCH(I44,$E$20:$E$55,0),3),""))</f>
        <v>0</v>
      </c>
      <c r="L44" s="51" t="str">
        <f aca="false">IF(M44="Completed","Completed","Ongoing")</f>
        <v>Ongoing</v>
      </c>
      <c r="M44" s="51" t="n">
        <f aca="false">IF(OR(AH44="Venture",AH44="Routine",AH44="Run Goal", AH44="Chg Goal", AH44=""),AH44,IF(AN44&lt;&gt;"","Completed",IF(AM44&lt;&gt;"","Pending",IF(AND(AL44&lt;&gt;"",$A$17&gt;AL44),"Overdue",IF($A$17&gt;AK44,"Started","Open")))))</f>
        <v>0</v>
      </c>
      <c r="N44" s="50" t="n">
        <f aca="false">((LEN($BC44)-LEN(SUBSTITUTE($BC44,CHAR(10)&amp;". ","")))/3)+IF(LEFT(TRIM($BC44),2)=". ",1,0)</f>
        <v>0</v>
      </c>
      <c r="O44" s="50" t="n">
        <f aca="false">((LEN($BC44)-LEN(SUBSTITUTE($BC44,CHAR(10)&amp;"/ ","")))/3)+IF(LEFT(TRIM($BC44),2)="/ ",1,0)</f>
        <v>0</v>
      </c>
      <c r="P44" s="50" t="n">
        <f aca="false">((LEN($BC44)-LEN(SUBSTITUTE($BC44,CHAR(10)&amp;"~ ","")))/3)+IF(LEFT(TRIM($BC44),2)="~ ",1,0)</f>
        <v>0</v>
      </c>
      <c r="Q44" s="50" t="n">
        <f aca="false">((LEN($BC44)-LEN(SUBSTITUTE($BC44,CHAR(10)&amp;"! ","")))/3)+IF(LEFT(TRIM($BC44),2)="! ",1,0)</f>
        <v>0</v>
      </c>
      <c r="R44" s="50" t="n">
        <f aca="false">((LEN($BC44)-LEN(SUBSTITUTE($BC44,CHAR(10)&amp;"x ","")))/3)+IF(LEFT(TRIM($BC44),2)="x ",1,0)</f>
        <v>0</v>
      </c>
      <c r="S44" s="50" t="n">
        <f aca="false">SUM(N44:R44)</f>
        <v>0</v>
      </c>
      <c r="T44" s="51" t="n">
        <f aca="false">IF(OR($B44="Drill",$B44="Action"),$AO44,0)</f>
        <v>0</v>
      </c>
      <c r="U44" s="51" t="n">
        <f aca="false">IF(OR($B44="Sub",$B44="Stream"),$AO44+SUMIFS($AO$20:$AO$55,$G$20:$G$55,$E44),0)</f>
        <v>0</v>
      </c>
      <c r="V44" s="51" t="n">
        <f aca="false">IF(OR($B44="Routine",$B44="Project"),$AO44+SUMIFS($U$20:$U$55,$G$20:$G$55,$E44),0)</f>
        <v>0</v>
      </c>
      <c r="W44" s="51" t="n">
        <f aca="false">IF($B44="Venture",$AO44+SUMIFS($V$20:$V$55,$G$20:$G$55,$E44),0)</f>
        <v>0</v>
      </c>
      <c r="X44" s="51" t="n">
        <f aca="false">IF(OR($B44="Drill",$B44="Action"),$AP44,0)</f>
        <v>0</v>
      </c>
      <c r="Y44" s="51" t="n">
        <f aca="false">IF(OR($B44="Sub",$B44="Stream"),$AP44+SUMIFS($AP$20:$AP$55,$G$20:$G$55,$E44),0)</f>
        <v>0</v>
      </c>
      <c r="Z44" s="51" t="n">
        <f aca="false">IF(OR($B44="Routine",$B44="Project"),$AP44+SUMIFS($Y$20:$Y$55,$G$20:$G$55,$E44),0)</f>
        <v>0</v>
      </c>
      <c r="AA44" s="51" t="n">
        <f aca="false">IF($B44="Venture",$AP44+SUMIFS($Z$20:$Z$55,$G$20:$G$55,$E44),0)</f>
        <v>0</v>
      </c>
      <c r="AB44" s="51" t="str">
        <f aca="false">IF(OR(AH44="Venture", AH44="Run Goal", AH44="Chg Goal"),AI44,AH44&amp;AI44&amp;AR44)</f>
        <v/>
      </c>
      <c r="AC44" s="53" t="str">
        <f aca="false">"  -  "&amp;IF(C44=90000000,9&amp;"Z",D44&amp;AE44&amp;IF(OR(B44="Run Goal",B44="Chg Goal", B44="Venture"),"",IF(OR(B44="Routine",B44="Project"),F44&amp;E44,  IF(OR(B44="Sub",B44="Stream"),H44&amp;G44&amp;F44&amp;E44,IF(OR(B44="Drill",B44="Action"),J44&amp;I44&amp;H44&amp;G44&amp;F44&amp;E44,     "") )    )))</f>
        <v>  -  9Z</v>
      </c>
      <c r="AD44" s="51" t="str">
        <f aca="false">IF(AND(AM44="",AN44=""),"Y","N")</f>
        <v>Y</v>
      </c>
      <c r="AE44" s="103" t="str">
        <f aca="false">IF(OR(AF44="Y",AF44="Y"),AF44,IF(DM44="none","N",IF(DM44&gt;($A$17-WEEKDAY($A$17,2)-(7*$AE$18)),"Y","N")))</f>
        <v>N</v>
      </c>
      <c r="AF44" s="104"/>
      <c r="AG44" s="105"/>
      <c r="AH44" s="79"/>
      <c r="AI44" s="56"/>
      <c r="AJ44" s="56"/>
      <c r="AK44" s="106"/>
      <c r="AL44" s="106"/>
      <c r="AM44" s="106"/>
      <c r="AN44" s="106"/>
      <c r="AO44" s="107"/>
      <c r="AP44" s="107"/>
      <c r="AQ44" s="79"/>
      <c r="AR44" s="79"/>
      <c r="AS44" s="79"/>
      <c r="AT44" s="79"/>
      <c r="AU44" s="79"/>
      <c r="AV44" s="79"/>
      <c r="AW44" s="79"/>
      <c r="AX44" s="79"/>
      <c r="AY44" s="79"/>
      <c r="AZ44" s="79"/>
      <c r="BA44" s="63"/>
      <c r="BB44" s="108"/>
      <c r="BC44" s="63"/>
      <c r="BD44" s="51" t="n">
        <f aca="false">SUM(N44:Q44)</f>
        <v>0</v>
      </c>
      <c r="BE44" s="59" t="n">
        <f aca="false">IF(AI44="",1,IF(S44&lt;&gt;0,(O44*0.5+R44)/S44,1))</f>
        <v>1</v>
      </c>
      <c r="BF44" s="81" t="str">
        <f aca="false">IF(AH44="","",IF(AH44="Venture",W44,IF(OR(AH44="Chg Goal",AH44="RUn Goal"),V44,IF(OR(AH44="ROutine",AH44="Project"),V44,IF(OR(AH44="Sub",AH44="Stream"),U44,IF(OR(AH44="Drill",AH44="Action"),T44,0))))))</f>
        <v/>
      </c>
      <c r="BG44" s="81" t="str">
        <f aca="false">IF(AH44="","",IF(AH44="Venture",AA44,IF(OR(AH44="Chg Goal",AH44="RUn Goal"),Z44,IF(OR(AH44="ROutine",AH44="Project"),Z44,IF(OR(AH44="Sub",AH44="Stream"),Y44,IF(OR(AH44="Drill",AH44="Action"),X44,0))))))</f>
        <v/>
      </c>
      <c r="BH44" s="109" t="str">
        <f aca="false">IF(AI44="","",IF(OR(BF44=0, BF44=""),0,BG44/BF44))</f>
        <v/>
      </c>
      <c r="BI44" s="110" t="str">
        <f aca="false">IF(    OR(   AND($C44=10000000,    BI$19&gt;=$A$17,      BI$19 &lt;($A$17+$DH$17)   ),   AND($C44&lt;&gt;10000000,  BI$19&gt;=$DW44,    BI$19&lt;=($DX44+$DH$17)  ))   ,$DV44,  "")</f>
        <v/>
      </c>
      <c r="BJ44" s="111" t="str">
        <f aca="false">IF(    OR(   AND($C44=10000000,    $A$17&lt;=BJ$19,      ($A$17+$DH$17)&gt;BJ$19    ),   AND($C44&lt;&gt;10000000,  BJ$19&gt;=$DW44,    BJ$19&lt;=($DX44+$DH$17)  ))   ,$DV44,  "")</f>
        <v/>
      </c>
      <c r="BK44" s="111" t="str">
        <f aca="false">IF(    OR(   AND($C44=10000000,    $A$17&lt;=BK$19,      ($A$17+$DH$17)&gt;BK$19    ),   AND($C44&lt;&gt;10000000,  BK$19&gt;=$DW44,    BK$19&lt;=($DX44+$DH$17)  ))   ,$DV44,  "")</f>
        <v/>
      </c>
      <c r="BL44" s="111" t="str">
        <f aca="false">IF(    OR(   AND($C44=10000000,    $A$17&lt;=BL$19,      ($A$17+$DH$17)&gt;BL$19    ),   AND($C44&lt;&gt;10000000,  BL$19&gt;=$DW44,    BL$19&lt;=($DX44+$DH$17)  ))   ,$DV44,  "")</f>
        <v/>
      </c>
      <c r="BM44" s="111" t="str">
        <f aca="false">IF(    OR(   AND($C44=10000000,    $A$17&lt;=BM$19,      ($A$17+$DH$17)&gt;BM$19    ),   AND($C44&lt;&gt;10000000,  BM$19&gt;=$DW44,    BM$19&lt;=($DX44+$DH$17)  ))   ,$DV44,  "")</f>
        <v/>
      </c>
      <c r="BN44" s="111" t="str">
        <f aca="false">IF(    OR(   AND($C44=10000000,    $A$17&lt;=BN$19,      ($A$17+$DH$17)&gt;BN$19    ),   AND($C44&lt;&gt;10000000,  BN$19&gt;=$DW44,    BN$19&lt;=($DX44+$DH$17)  ))   ,$DV44,  "")</f>
        <v/>
      </c>
      <c r="BO44" s="111" t="str">
        <f aca="false">IF(    OR(   AND($C44=10000000,    $A$17&lt;=BO$19,      ($A$17+$DH$17)&gt;BO$19    ),   AND($C44&lt;&gt;10000000,  BO$19&gt;=$DW44,    BO$19&lt;=($DX44+$DH$17)  ))   ,$DV44,  "")</f>
        <v/>
      </c>
      <c r="BP44" s="111" t="str">
        <f aca="false">IF(    OR(   AND($C44=10000000,    $A$17&lt;=BP$19,      ($A$17+$DH$17)&gt;BP$19    ),   AND($C44&lt;&gt;10000000,  BP$19&gt;=$DW44,    BP$19&lt;=($DX44+$DH$17)  ))   ,$DV44,  "")</f>
        <v/>
      </c>
      <c r="BQ44" s="111" t="str">
        <f aca="false">IF(    OR(   AND($C44=10000000,    $A$17&lt;=BQ$19,      ($A$17+$DH$17)&gt;BQ$19    ),   AND($C44&lt;&gt;10000000,  BQ$19&gt;=$DW44,    BQ$19&lt;=($DX44+$DH$17)  ))   ,$DV44,  "")</f>
        <v/>
      </c>
      <c r="BR44" s="111" t="str">
        <f aca="false">IF(    OR(   AND($C44=10000000,    $A$17&lt;=BR$19,      ($A$17+$DH$17)&gt;BR$19    ),   AND($C44&lt;&gt;10000000,  BR$19&gt;=$DW44,    BR$19&lt;=($DX44+$DH$17)  ))   ,$DV44,  "")</f>
        <v/>
      </c>
      <c r="BS44" s="111" t="str">
        <f aca="false">IF(    OR(   AND($C44=10000000,    $A$17&lt;=BS$19,      ($A$17+$DH$17)&gt;BS$19    ),   AND($C44&lt;&gt;10000000,  BS$19&gt;=$DW44,    BS$19&lt;=($DX44+$DH$17)  ))   ,$DV44,  "")</f>
        <v/>
      </c>
      <c r="BT44" s="111" t="str">
        <f aca="false">IF(    OR(   AND($C44=10000000,    $A$17&lt;=BT$19,      ($A$17+$DH$17)&gt;BT$19    ),   AND($C44&lt;&gt;10000000,  BT$19&gt;=$DW44,    BT$19&lt;=($DX44+$DH$17)  ))   ,$DV44,  "")</f>
        <v/>
      </c>
      <c r="BU44" s="111" t="str">
        <f aca="false">IF(    OR(   AND($C44=10000000,    $A$17&lt;=BU$19,      ($A$17+$DH$17)&gt;BU$19    ),   AND($C44&lt;&gt;10000000,  BU$19&gt;=$DW44,    BU$19&lt;=($DX44+$DH$17)  ))   ,$DV44,  "")</f>
        <v/>
      </c>
      <c r="BV44" s="111" t="str">
        <f aca="false">IF(    OR(   AND($C44=10000000,    $A$17&lt;=BV$19,      ($A$17+$DH$17)&gt;BV$19    ),   AND($C44&lt;&gt;10000000,  BV$19&gt;=$DW44,    BV$19&lt;=($DX44+$DH$17)  ))   ,$DV44,  "")</f>
        <v/>
      </c>
      <c r="BW44" s="111" t="str">
        <f aca="false">IF(    OR(   AND($C44=10000000,    $A$17&lt;=BW$19,      ($A$17+$DH$17)&gt;BW$19    ),   AND($C44&lt;&gt;10000000,  BW$19&gt;=$DW44,    BW$19&lt;=($DX44+$DH$17)  ))   ,$DV44,  "")</f>
        <v/>
      </c>
      <c r="BX44" s="111" t="str">
        <f aca="false">IF(    OR(   AND($C44=10000000,    $A$17&lt;=BX$19,      ($A$17+$DH$17)&gt;BX$19    ),   AND($C44&lt;&gt;10000000,  BX$19&gt;=$DW44,    BX$19&lt;=($DX44+$DH$17)  ))   ,$DV44,  "")</f>
        <v/>
      </c>
      <c r="BY44" s="111" t="str">
        <f aca="false">IF(    OR(   AND($C44=10000000,    $A$17&lt;=BY$19,      ($A$17+$DH$17)&gt;BY$19    ),   AND($C44&lt;&gt;10000000,  BY$19&gt;=$DW44,    BY$19&lt;=($DX44+$DH$17)  ))   ,$DV44,  "")</f>
        <v/>
      </c>
      <c r="BZ44" s="111" t="str">
        <f aca="false">IF(    OR(   AND($C44=10000000,    $A$17&lt;=BZ$19,      ($A$17+$DH$17)&gt;BZ$19    ),   AND($C44&lt;&gt;10000000,  BZ$19&gt;=$DW44,    BZ$19&lt;=($DX44+$DH$17)  ))   ,$DV44,  "")</f>
        <v/>
      </c>
      <c r="CA44" s="111" t="str">
        <f aca="false">IF(    OR(   AND($C44=10000000,    $A$17&lt;=CA$19,      ($A$17+$DH$17)&gt;CA$19    ),   AND($C44&lt;&gt;10000000,  CA$19&gt;=$DW44,    CA$19&lt;=($DX44+$DH$17)  ))   ,$DV44,  "")</f>
        <v/>
      </c>
      <c r="CB44" s="111" t="str">
        <f aca="false">IF(    OR(   AND($C44=10000000,    $A$17&lt;=CB$19,      ($A$17+$DH$17)&gt;CB$19    ),   AND($C44&lt;&gt;10000000,  CB$19&gt;=$DW44,    CB$19&lt;=($DX44+$DH$17)  ))   ,$DV44,  "")</f>
        <v/>
      </c>
      <c r="CC44" s="111" t="str">
        <f aca="false">IF(    OR(   AND($C44=10000000,    $A$17&lt;=CC$19,      ($A$17+$DH$17)&gt;CC$19    ),   AND($C44&lt;&gt;10000000,  CC$19&gt;=$DW44,    CC$19&lt;=($DX44+$DH$17)  ))   ,$DV44,  "")</f>
        <v/>
      </c>
      <c r="CD44" s="111" t="str">
        <f aca="false">IF(    OR(   AND($C44=10000000,    $A$17&lt;=CD$19,      ($A$17+$DH$17)&gt;CD$19    ),   AND($C44&lt;&gt;10000000,  CD$19&gt;=$DW44,    CD$19&lt;=($DX44+$DH$17)  ))   ,$DV44,  "")</f>
        <v/>
      </c>
      <c r="CE44" s="111" t="str">
        <f aca="false">IF(    OR(   AND($C44=10000000,    $A$17&lt;=CE$19,      ($A$17+$DH$17)&gt;CE$19    ),   AND($C44&lt;&gt;10000000,  CE$19&gt;=$DW44,    CE$19&lt;=($DX44+$DH$17)  ))   ,$DV44,  "")</f>
        <v/>
      </c>
      <c r="CF44" s="111" t="str">
        <f aca="false">IF(    OR(   AND($C44=10000000,    $A$17&lt;=CF$19,      ($A$17+$DH$17)&gt;CF$19    ),   AND($C44&lt;&gt;10000000,  CF$19&gt;=$DW44,    CF$19&lt;=($DX44+$DH$17)  ))   ,$DV44,  "")</f>
        <v/>
      </c>
      <c r="CG44" s="111" t="str">
        <f aca="false">IF(    OR(   AND($C44=10000000,    $A$17&lt;=CG$19,      ($A$17+$DH$17)&gt;CG$19    ),   AND($C44&lt;&gt;10000000,  CG$19&gt;=$DW44,    CG$19&lt;=($DX44+$DH$17)  ))   ,$DV44,  "")</f>
        <v/>
      </c>
      <c r="CH44" s="111" t="str">
        <f aca="false">IF(    OR(   AND($C44=10000000,    $A$17&lt;=CH$19,      ($A$17+$DH$17)&gt;CH$19    ),   AND($C44&lt;&gt;10000000,  CH$19&gt;=$DW44,    CH$19&lt;=($DX44+$DH$17)  ))   ,$DV44,  "")</f>
        <v/>
      </c>
      <c r="CI44" s="111" t="str">
        <f aca="false">IF(    OR(   AND($C44=10000000,    $A$17&lt;=CI$19,      ($A$17+$DH$17)&gt;CI$19    ),   AND($C44&lt;&gt;10000000,  CI$19&gt;=$DW44,    CI$19&lt;=($DX44+$DH$17)  ))   ,$DV44,  "")</f>
        <v/>
      </c>
      <c r="CJ44" s="111" t="str">
        <f aca="false">IF(    OR(   AND($C44=10000000,    $A$17&lt;=CJ$19,      ($A$17+$DH$17)&gt;CJ$19    ),   AND($C44&lt;&gt;10000000,  CJ$19&gt;=$DW44,    CJ$19&lt;=($DX44+$DH$17)  ))   ,$DV44,  "")</f>
        <v/>
      </c>
      <c r="CK44" s="111" t="str">
        <f aca="false">IF(    OR(   AND($C44=10000000,    $A$17&lt;=CK$19,      ($A$17+$DH$17)&gt;CK$19    ),   AND($C44&lt;&gt;10000000,  CK$19&gt;=$DW44,    CK$19&lt;=($DX44+$DH$17)  ))   ,$DV44,  "")</f>
        <v/>
      </c>
      <c r="CL44" s="111" t="str">
        <f aca="false">IF(    OR(   AND($C44=10000000,    $A$17&lt;=CL$19,      ($A$17+$DH$17)&gt;CL$19    ),   AND($C44&lt;&gt;10000000,  CL$19&gt;=$DW44,    CL$19&lt;=($DX44+$DH$17)  ))   ,$DV44,  "")</f>
        <v/>
      </c>
      <c r="CM44" s="111" t="str">
        <f aca="false">IF(    OR(   AND($C44=10000000,    $A$17&lt;=CM$19,      ($A$17+$DH$17)&gt;CM$19    ),   AND($C44&lt;&gt;10000000,  CM$19&gt;=$DW44,    CM$19&lt;=($DX44+$DH$17)  ))   ,$DV44,  "")</f>
        <v/>
      </c>
      <c r="CN44" s="111" t="str">
        <f aca="false">IF(    OR(   AND($C44=10000000,    $A$17&lt;=CN$19,      ($A$17+$DH$17)&gt;CN$19    ),   AND($C44&lt;&gt;10000000,  CN$19&gt;=$DW44,    CN$19&lt;=($DX44+$DH$17)  ))   ,$DV44,  "")</f>
        <v/>
      </c>
      <c r="CO44" s="111" t="str">
        <f aca="false">IF(    OR(   AND($C44=10000000,    $A$17&lt;=CO$19,      ($A$17+$DH$17)&gt;CO$19    ),   AND($C44&lt;&gt;10000000,  CO$19&gt;=$DW44,    CO$19&lt;=($DX44+$DH$17)  ))   ,$DV44,  "")</f>
        <v/>
      </c>
      <c r="CP44" s="111" t="str">
        <f aca="false">IF(    OR(   AND($C44=10000000,    $A$17&lt;=CP$19,      ($A$17+$DH$17)&gt;CP$19    ),   AND($C44&lt;&gt;10000000,  CP$19&gt;=$DW44,    CP$19&lt;=($DX44+$DH$17)  ))   ,$DV44,  "")</f>
        <v/>
      </c>
      <c r="CQ44" s="111" t="str">
        <f aca="false">IF(    OR(   AND($C44=10000000,    $A$17&lt;=CQ$19,      ($A$17+$DH$17)&gt;CQ$19    ),   AND($C44&lt;&gt;10000000,  CQ$19&gt;=$DW44,    CQ$19&lt;=($DX44+$DH$17)  ))   ,$DV44,  "")</f>
        <v/>
      </c>
      <c r="CR44" s="111" t="str">
        <f aca="false">IF(    OR(   AND($C44=10000000,    $A$17&lt;=CR$19,      ($A$17+$DH$17)&gt;CR$19    ),   AND($C44&lt;&gt;10000000,  CR$19&gt;=$DW44,    CR$19&lt;=($DX44+$DH$17)  ))   ,$DV44,  "")</f>
        <v/>
      </c>
      <c r="CS44" s="111" t="str">
        <f aca="false">IF(    OR(   AND($C44=10000000,    $A$17&lt;=CS$19,      ($A$17+$DH$17)&gt;CS$19    ),   AND($C44&lt;&gt;10000000,  CS$19&gt;=$DW44,    CS$19&lt;=($DX44+$DH$17)  ))   ,$DV44,  "")</f>
        <v/>
      </c>
      <c r="CT44" s="111" t="str">
        <f aca="false">IF(    OR(   AND($C44=10000000,    $A$17&lt;=CT$19,      ($A$17+$DH$17)&gt;CT$19    ),   AND($C44&lt;&gt;10000000,  CT$19&gt;=$DW44,    CT$19&lt;=($DX44+$DH$17)  ))   ,$DV44,  "")</f>
        <v/>
      </c>
      <c r="CU44" s="111" t="str">
        <f aca="false">IF(    OR(   AND($C44=10000000,    $A$17&lt;=CU$19,      ($A$17+$DH$17)&gt;CU$19    ),   AND($C44&lt;&gt;10000000,  CU$19&gt;=$DW44,    CU$19&lt;=($DX44+$DH$17)  ))   ,$DV44,  "")</f>
        <v/>
      </c>
      <c r="CV44" s="111" t="str">
        <f aca="false">IF(    OR(   AND($C44=10000000,    $A$17&lt;=CV$19,      ($A$17+$DH$17)&gt;CV$19    ),   AND($C44&lt;&gt;10000000,  CV$19&gt;=$DW44,    CV$19&lt;=($DX44+$DH$17)  ))   ,$DV44,  "")</f>
        <v/>
      </c>
      <c r="CW44" s="111" t="str">
        <f aca="false">IF(    OR(   AND($C44=10000000,    $A$17&lt;=CW$19,      ($A$17+$DH$17)&gt;CW$19    ),   AND($C44&lt;&gt;10000000,  CW$19&gt;=$DW44,    CW$19&lt;=($DX44+$DH$17)  ))   ,$DV44,  "")</f>
        <v/>
      </c>
      <c r="CX44" s="111" t="str">
        <f aca="false">IF(    OR(   AND($C44=10000000,    $A$17&lt;=CX$19,      ($A$17+$DH$17)&gt;CX$19    ),   AND($C44&lt;&gt;10000000,  CX$19&gt;=$DW44,    CX$19&lt;=($DX44+$DH$17)  ))   ,$DV44,  "")</f>
        <v/>
      </c>
      <c r="CY44" s="111" t="str">
        <f aca="false">IF(    OR(   AND($C44=10000000,    $A$17&lt;=CY$19,      ($A$17+$DH$17)&gt;CY$19    ),   AND($C44&lt;&gt;10000000,  CY$19&gt;=$DW44,    CY$19&lt;=($DX44+$DH$17)  ))   ,$DV44,  "")</f>
        <v/>
      </c>
      <c r="CZ44" s="111" t="str">
        <f aca="false">IF(    OR(   AND($C44=10000000,    $A$17&lt;=CZ$19,      ($A$17+$DH$17)&gt;CZ$19    ),   AND($C44&lt;&gt;10000000,  CZ$19&gt;=$DW44,    CZ$19&lt;=($DX44+$DH$17)  ))   ,$DV44,  "")</f>
        <v/>
      </c>
      <c r="DA44" s="111" t="str">
        <f aca="false">IF(    OR(   AND($C44=10000000,    $A$17&lt;=DA$19,      ($A$17+$DH$17)&gt;DA$19    ),   AND($C44&lt;&gt;10000000,  DA$19&gt;=$DW44,    DA$19&lt;=($DX44+$DH$17)  ))   ,$DV44,  "")</f>
        <v/>
      </c>
      <c r="DB44" s="111" t="str">
        <f aca="false">IF(    OR(   AND($C44=10000000,    $A$17&lt;=DB$19,      ($A$17+$DH$17)&gt;DB$19    ),   AND($C44&lt;&gt;10000000,  DB$19&gt;=$DW44,    DB$19&lt;=($DX44+$DH$17)  ))   ,$DV44,  "")</f>
        <v/>
      </c>
      <c r="DC44" s="111" t="str">
        <f aca="false">IF(    OR(   AND($C44=10000000,    $A$17&lt;=DC$19,      ($A$17+$DH$17)&gt;DC$19    ),   AND($C44&lt;&gt;10000000,  DC$19&gt;=$DW44,    DC$19&lt;=($DX44+$DH$17)  ))   ,$DV44,  "")</f>
        <v/>
      </c>
      <c r="DD44" s="111" t="str">
        <f aca="false">IF(    OR(   AND($C44=10000000,    $A$17&lt;=DD$19,      ($A$17+$DH$17)&gt;DD$19    ),   AND($C44&lt;&gt;10000000,  DD$19&gt;=$DW44,    DD$19&lt;=($DX44+$DH$17)  ))   ,$DV44,  "")</f>
        <v/>
      </c>
      <c r="DE44" s="111" t="str">
        <f aca="false">IF(    OR(   AND($C44=10000000,    $A$17&lt;=DE$19,      ($A$17+$DH$17)&gt;DE$19    ),   AND($C44&lt;&gt;10000000,  DE$19&gt;=$DW44,    DE$19&lt;=($DX44+$DH$17)  ))   ,$DV44,  "")</f>
        <v/>
      </c>
      <c r="DF44" s="111" t="str">
        <f aca="false">IF(    OR(   AND($C44=10000000,    $A$17&lt;=DF$19,      ($A$17+$DH$17)&gt;DF$19    ),   AND($C44&lt;&gt;10000000,  DF$19&gt;=$DW44,    DF$19&lt;=($DX44+$DH$17)  ))   ,$DV44,  "")</f>
        <v/>
      </c>
      <c r="DG44" s="111" t="str">
        <f aca="false">IF(    OR(   AND($C44=10000000,    $A$17&lt;=DG$19,      ($A$17+$DH$17)&gt;DG$19    ),   AND($C44&lt;&gt;10000000,  DG$19&gt;=$DW44,    DG$19&lt;=($DX44+$DH$17)  ))   ,$DV44,  "")</f>
        <v/>
      </c>
      <c r="DH44" s="111" t="str">
        <f aca="false">IF(    OR(   AND($C44=10000000,    $A$17&lt;=DH$19,      ($A$17+$DH$17)&gt;DH$19    ),   AND($C44&lt;&gt;10000000,  DH$19&gt;=$DW44,    DH$19&lt;=($DX44+$DH$17)  ))   ,$DV44,  "")</f>
        <v/>
      </c>
      <c r="DI44" s="112" t="str">
        <f aca="false">IF(BB44="","",IF(ISERROR(FIND(CHAR(10),BB44,1)),BB44,LEFT(BB44,FIND(CHAR(10),BB44,1))))</f>
        <v/>
      </c>
      <c r="DJ44" s="53" t="str">
        <f aca="false">IF(BB44="","",IFERROR(RIGHT(BB44,LEN(BB44)-FIND("@@@",SUBSTITUTE(BB44,CHAR(10),"@@@",LEN(BB44)-LEN(SUBSTITUTE(BB44,CHAR(10),""))),1)),BB44))</f>
        <v/>
      </c>
      <c r="DK44" s="53" t="str">
        <f aca="false">IF(BC44="","",IFERROR(RIGHT(BC44,LEN(BC44)-FIND("@@@",SUBSTITUTE(BC44,CHAR(10),"@@@",LEN(BC44)-LEN(SUBSTITUTE(BC44,CHAR(10),""))),1)),BC44))</f>
        <v/>
      </c>
      <c r="DL44" s="113" t="str">
        <f aca="false">IFERROR(DATE(("20"&amp;MID(DI44,7,2))*1,MID(DI44,4,2)*1,MID(DI44,1,2)*1),"none")</f>
        <v>none</v>
      </c>
      <c r="DM44" s="113" t="str">
        <f aca="false">IFERROR(DATE(("20"&amp;MID(DJ44,7,2))*1,MID(DJ44,4,2)*1,MID(DJ44,1,2)*1),"none")</f>
        <v>none</v>
      </c>
      <c r="DN44" s="113" t="n">
        <f aca="false">IF(DL44&lt;&gt;"none",DL44,DATE(1900,1,1))</f>
        <v>2</v>
      </c>
      <c r="DO44" s="113" t="n">
        <f aca="false">IF(DM44&lt;&gt;"none",DM44,DN44)</f>
        <v>2</v>
      </c>
      <c r="DP44" s="114" t="n">
        <f aca="false">_xlfn.DAYS($A$17,DN44)</f>
        <v>45332</v>
      </c>
      <c r="DQ44" s="114" t="n">
        <f aca="false">_xlfn.DAYS($A$17, DO44)</f>
        <v>45332</v>
      </c>
      <c r="DR44" s="51" t="n">
        <f aca="false">IF(DO44&lt;&gt;"",INT(DQ44/7),0)</f>
        <v>6476</v>
      </c>
      <c r="DS44" s="114" t="n">
        <f aca="false">IF(M44="Overdue",_xlfn.DAYS($A$17,AL44),0)</f>
        <v>0</v>
      </c>
      <c r="DT44" s="114" t="n">
        <f aca="false">IF(AH44="Project",_xlfn.DAYS(AL44,$A$17),0)</f>
        <v>0</v>
      </c>
      <c r="DU44" s="51" t="str">
        <f aca="false">IFERROR(INDEX(Static!$D$5:$E$11,MATCH(AH44,Static!$D$5:$D$11,0),2),"")</f>
        <v/>
      </c>
      <c r="DV44" s="51" t="str">
        <f aca="false">IF(C44=10000000,"Red",IF(OR(C44=11000000,C44=12000000),"Black",IF(C44=11100000,"Dark",IF(AND(C44=12100000,M44="Completed"),"Green",IF(AND(C44=12100000,M44="Overdue"),"Red",IF(C44=12100000,"Dark",IF(AND(C44=12110000,M44="Overdue"),"LightRed",IF(AND(C44=12110000,M44="Completed"),"LightGreen",IF(OR(C44=11110000,C44=12110000),"Light",IF(AND(C44=12111000,M44="Overdue"),"SoftRed",IF(AND(C44=12111000,M44="Completed"),"SoftGreen",IF(OR(C44=11111000,C44=12111000),"Grey",""))))))))))))</f>
        <v/>
      </c>
      <c r="DW44" s="49" t="n">
        <f aca="false">IF(AK44&lt;&gt;"",AK44,$BI$19)</f>
        <v>44927</v>
      </c>
      <c r="DX44" s="49" t="n">
        <f aca="false">IF(AL44&lt;&gt;"",AL44,$DH$19)</f>
        <v>45657</v>
      </c>
      <c r="DY44" s="79" t="s">
        <v>450</v>
      </c>
    </row>
    <row r="45" customFormat="false" ht="14.15" hidden="false" customHeight="true" outlineLevel="0" collapsed="false">
      <c r="A45" s="63"/>
      <c r="B45" s="53" t="n">
        <f aca="false">AH45</f>
        <v>0</v>
      </c>
      <c r="C45" s="51" t="n">
        <f aca="false">IFERROR(INDEX(Static!$D$5:$F$11,MATCH(AH45,Static!$D$5:$D$11,0),3),90000000)</f>
        <v>90000000</v>
      </c>
      <c r="D45" s="51" t="str">
        <f aca="false">MID(C45,2,1)</f>
        <v>0</v>
      </c>
      <c r="E45" s="53" t="str">
        <f aca="false">AB45</f>
        <v/>
      </c>
      <c r="F45" s="51" t="str">
        <f aca="false">IF(B45="Venture",0,IF(OR(B45="Project",B45="Stream",B45="Action"),AK45,""))</f>
        <v/>
      </c>
      <c r="G45" s="51" t="n">
        <f aca="false">AS45</f>
        <v>0</v>
      </c>
      <c r="H45" s="51" t="str">
        <f aca="false">IF(B45="Venture",0,IFERROR(INDEX($E$20:$F$55,MATCH(G45,$E$20:$E$55,0),2),""))</f>
        <v/>
      </c>
      <c r="I45" s="51" t="str">
        <f aca="false">IF(B45="Venture",0,IFERROR(INDEX($E$20:$G$55,MATCH(G45,$E$20:$E$55,0),3),""))</f>
        <v/>
      </c>
      <c r="J45" s="51" t="str">
        <f aca="false">IF(B45="Venture",0,IFERROR(INDEX($E$20:$H$55,MATCH(G45,$E$20:$E$55,0),4),""))</f>
        <v/>
      </c>
      <c r="K45" s="51" t="n">
        <f aca="false">IF(B45="Venture",0,IFERROR(INDEX($E$20:$G$55,MATCH(I45,$E$20:$E$55,0),3),""))</f>
        <v>0</v>
      </c>
      <c r="L45" s="51" t="str">
        <f aca="false">IF(M45="Completed","Completed","Ongoing")</f>
        <v>Ongoing</v>
      </c>
      <c r="M45" s="51" t="n">
        <f aca="false">IF(OR(AH45="Venture",AH45="Routine",AH45="Run Goal", AH45="Chg Goal", AH45=""),AH45,IF(AN45&lt;&gt;"","Completed",IF(AM45&lt;&gt;"","Pending",IF(AND(AL45&lt;&gt;"",$A$17&gt;AL45),"Overdue",IF($A$17&gt;AK45,"Started","Open")))))</f>
        <v>0</v>
      </c>
      <c r="N45" s="50" t="n">
        <f aca="false">((LEN($BC45)-LEN(SUBSTITUTE($BC45,CHAR(10)&amp;". ","")))/3)+IF(LEFT(TRIM($BC45),2)=". ",1,0)</f>
        <v>0</v>
      </c>
      <c r="O45" s="50" t="n">
        <f aca="false">((LEN($BC45)-LEN(SUBSTITUTE($BC45,CHAR(10)&amp;"/ ","")))/3)+IF(LEFT(TRIM($BC45),2)="/ ",1,0)</f>
        <v>0</v>
      </c>
      <c r="P45" s="50" t="n">
        <f aca="false">((LEN($BC45)-LEN(SUBSTITUTE($BC45,CHAR(10)&amp;"~ ","")))/3)+IF(LEFT(TRIM($BC45),2)="~ ",1,0)</f>
        <v>0</v>
      </c>
      <c r="Q45" s="50" t="n">
        <f aca="false">((LEN($BC45)-LEN(SUBSTITUTE($BC45,CHAR(10)&amp;"! ","")))/3)+IF(LEFT(TRIM($BC45),2)="! ",1,0)</f>
        <v>0</v>
      </c>
      <c r="R45" s="50" t="n">
        <f aca="false">((LEN($BC45)-LEN(SUBSTITUTE($BC45,CHAR(10)&amp;"x ","")))/3)+IF(LEFT(TRIM($BC45),2)="x ",1,0)</f>
        <v>0</v>
      </c>
      <c r="S45" s="50" t="n">
        <f aca="false">SUM(N45:R45)</f>
        <v>0</v>
      </c>
      <c r="T45" s="51" t="n">
        <f aca="false">IF(OR($B45="Drill",$B45="Action"),$AO45,0)</f>
        <v>0</v>
      </c>
      <c r="U45" s="51" t="n">
        <f aca="false">IF(OR($B45="Sub",$B45="Stream"),$AO45+SUMIFS($AO$20:$AO$55,$G$20:$G$55,$E45),0)</f>
        <v>0</v>
      </c>
      <c r="V45" s="51" t="n">
        <f aca="false">IF(OR($B45="Routine",$B45="Project"),$AO45+SUMIFS($U$20:$U$55,$G$20:$G$55,$E45),0)</f>
        <v>0</v>
      </c>
      <c r="W45" s="51" t="n">
        <f aca="false">IF($B45="Venture",$AO45+SUMIFS($V$20:$V$55,$G$20:$G$55,$E45),0)</f>
        <v>0</v>
      </c>
      <c r="X45" s="51" t="n">
        <f aca="false">IF(OR($B45="Drill",$B45="Action"),$AP45,0)</f>
        <v>0</v>
      </c>
      <c r="Y45" s="51" t="n">
        <f aca="false">IF(OR($B45="Sub",$B45="Stream"),$AP45+SUMIFS($AP$20:$AP$55,$G$20:$G$55,$E45),0)</f>
        <v>0</v>
      </c>
      <c r="Z45" s="51" t="n">
        <f aca="false">IF(OR($B45="Routine",$B45="Project"),$AP45+SUMIFS($Y$20:$Y$55,$G$20:$G$55,$E45),0)</f>
        <v>0</v>
      </c>
      <c r="AA45" s="51" t="n">
        <f aca="false">IF($B45="Venture",$AP45+SUMIFS($Z$20:$Z$55,$G$20:$G$55,$E45),0)</f>
        <v>0</v>
      </c>
      <c r="AB45" s="51" t="str">
        <f aca="false">IF(OR(AH45="Venture", AH45="Run Goal", AH45="Chg Goal"),AI45,AH45&amp;AI45&amp;AR45)</f>
        <v/>
      </c>
      <c r="AC45" s="53" t="str">
        <f aca="false">"  -  "&amp;IF(C45=90000000,9&amp;"Z",D45&amp;AE45&amp;IF(OR(B45="Run Goal",B45="Chg Goal", B45="Venture"),"",IF(OR(B45="Routine",B45="Project"),F45&amp;E45,  IF(OR(B45="Sub",B45="Stream"),H45&amp;G45&amp;F45&amp;E45,IF(OR(B45="Drill",B45="Action"),J45&amp;I45&amp;H45&amp;G45&amp;F45&amp;E45,     "") )    )))</f>
        <v>  -  9Z</v>
      </c>
      <c r="AD45" s="51" t="str">
        <f aca="false">IF(AND(AM45="",AN45=""),"Y","N")</f>
        <v>Y</v>
      </c>
      <c r="AE45" s="103" t="str">
        <f aca="false">IF(OR(AF45="Y",AF45="Y"),AF45,IF(DM45="none","N",IF(DM45&gt;($A$17-WEEKDAY($A$17,2)-(7*$AE$18)),"Y","N")))</f>
        <v>N</v>
      </c>
      <c r="AF45" s="104"/>
      <c r="AG45" s="105"/>
      <c r="AH45" s="79"/>
      <c r="AI45" s="56"/>
      <c r="AJ45" s="56"/>
      <c r="AK45" s="106"/>
      <c r="AL45" s="106"/>
      <c r="AM45" s="106"/>
      <c r="AN45" s="106"/>
      <c r="AO45" s="107"/>
      <c r="AP45" s="107"/>
      <c r="AQ45" s="79"/>
      <c r="AR45" s="79"/>
      <c r="AS45" s="79"/>
      <c r="AT45" s="79"/>
      <c r="AU45" s="79"/>
      <c r="AV45" s="79"/>
      <c r="AW45" s="79"/>
      <c r="AX45" s="79"/>
      <c r="AY45" s="79"/>
      <c r="AZ45" s="79"/>
      <c r="BA45" s="63"/>
      <c r="BB45" s="108"/>
      <c r="BC45" s="63"/>
      <c r="BD45" s="51" t="n">
        <f aca="false">SUM(N45:Q45)</f>
        <v>0</v>
      </c>
      <c r="BE45" s="59" t="n">
        <f aca="false">IF(AI45="",1,IF(S45&lt;&gt;0,(O45*0.5+R45)/S45,1))</f>
        <v>1</v>
      </c>
      <c r="BF45" s="81" t="str">
        <f aca="false">IF(AH45="","",IF(AH45="Venture",W45,IF(OR(AH45="Chg Goal",AH45="RUn Goal"),V45,IF(OR(AH45="ROutine",AH45="Project"),V45,IF(OR(AH45="Sub",AH45="Stream"),U45,IF(OR(AH45="Drill",AH45="Action"),T45,0))))))</f>
        <v/>
      </c>
      <c r="BG45" s="81" t="str">
        <f aca="false">IF(AH45="","",IF(AH45="Venture",AA45,IF(OR(AH45="Chg Goal",AH45="RUn Goal"),Z45,IF(OR(AH45="ROutine",AH45="Project"),Z45,IF(OR(AH45="Sub",AH45="Stream"),Y45,IF(OR(AH45="Drill",AH45="Action"),X45,0))))))</f>
        <v/>
      </c>
      <c r="BH45" s="109" t="str">
        <f aca="false">IF(AI45="","",IF(OR(BF45=0, BF45=""),0,BG45/BF45))</f>
        <v/>
      </c>
      <c r="BI45" s="110" t="str">
        <f aca="false">IF(    OR(   AND($C45=10000000,    BI$19&gt;=$A$17,      BI$19 &lt;($A$17+$DH$17)   ),   AND($C45&lt;&gt;10000000,  BI$19&gt;=$DW45,    BI$19&lt;=($DX45+$DH$17)  ))   ,$DV45,  "")</f>
        <v/>
      </c>
      <c r="BJ45" s="111" t="str">
        <f aca="false">IF(    OR(   AND($C45=10000000,    $A$17&lt;=BJ$19,      ($A$17+$DH$17)&gt;BJ$19    ),   AND($C45&lt;&gt;10000000,  BJ$19&gt;=$DW45,    BJ$19&lt;=($DX45+$DH$17)  ))   ,$DV45,  "")</f>
        <v/>
      </c>
      <c r="BK45" s="111" t="str">
        <f aca="false">IF(    OR(   AND($C45=10000000,    $A$17&lt;=BK$19,      ($A$17+$DH$17)&gt;BK$19    ),   AND($C45&lt;&gt;10000000,  BK$19&gt;=$DW45,    BK$19&lt;=($DX45+$DH$17)  ))   ,$DV45,  "")</f>
        <v/>
      </c>
      <c r="BL45" s="111" t="str">
        <f aca="false">IF(    OR(   AND($C45=10000000,    $A$17&lt;=BL$19,      ($A$17+$DH$17)&gt;BL$19    ),   AND($C45&lt;&gt;10000000,  BL$19&gt;=$DW45,    BL$19&lt;=($DX45+$DH$17)  ))   ,$DV45,  "")</f>
        <v/>
      </c>
      <c r="BM45" s="111" t="str">
        <f aca="false">IF(    OR(   AND($C45=10000000,    $A$17&lt;=BM$19,      ($A$17+$DH$17)&gt;BM$19    ),   AND($C45&lt;&gt;10000000,  BM$19&gt;=$DW45,    BM$19&lt;=($DX45+$DH$17)  ))   ,$DV45,  "")</f>
        <v/>
      </c>
      <c r="BN45" s="111" t="str">
        <f aca="false">IF(    OR(   AND($C45=10000000,    $A$17&lt;=BN$19,      ($A$17+$DH$17)&gt;BN$19    ),   AND($C45&lt;&gt;10000000,  BN$19&gt;=$DW45,    BN$19&lt;=($DX45+$DH$17)  ))   ,$DV45,  "")</f>
        <v/>
      </c>
      <c r="BO45" s="111" t="str">
        <f aca="false">IF(    OR(   AND($C45=10000000,    $A$17&lt;=BO$19,      ($A$17+$DH$17)&gt;BO$19    ),   AND($C45&lt;&gt;10000000,  BO$19&gt;=$DW45,    BO$19&lt;=($DX45+$DH$17)  ))   ,$DV45,  "")</f>
        <v/>
      </c>
      <c r="BP45" s="111" t="str">
        <f aca="false">IF(    OR(   AND($C45=10000000,    $A$17&lt;=BP$19,      ($A$17+$DH$17)&gt;BP$19    ),   AND($C45&lt;&gt;10000000,  BP$19&gt;=$DW45,    BP$19&lt;=($DX45+$DH$17)  ))   ,$DV45,  "")</f>
        <v/>
      </c>
      <c r="BQ45" s="111" t="str">
        <f aca="false">IF(    OR(   AND($C45=10000000,    $A$17&lt;=BQ$19,      ($A$17+$DH$17)&gt;BQ$19    ),   AND($C45&lt;&gt;10000000,  BQ$19&gt;=$DW45,    BQ$19&lt;=($DX45+$DH$17)  ))   ,$DV45,  "")</f>
        <v/>
      </c>
      <c r="BR45" s="111" t="str">
        <f aca="false">IF(    OR(   AND($C45=10000000,    $A$17&lt;=BR$19,      ($A$17+$DH$17)&gt;BR$19    ),   AND($C45&lt;&gt;10000000,  BR$19&gt;=$DW45,    BR$19&lt;=($DX45+$DH$17)  ))   ,$DV45,  "")</f>
        <v/>
      </c>
      <c r="BS45" s="111" t="str">
        <f aca="false">IF(    OR(   AND($C45=10000000,    $A$17&lt;=BS$19,      ($A$17+$DH$17)&gt;BS$19    ),   AND($C45&lt;&gt;10000000,  BS$19&gt;=$DW45,    BS$19&lt;=($DX45+$DH$17)  ))   ,$DV45,  "")</f>
        <v/>
      </c>
      <c r="BT45" s="111" t="str">
        <f aca="false">IF(    OR(   AND($C45=10000000,    $A$17&lt;=BT$19,      ($A$17+$DH$17)&gt;BT$19    ),   AND($C45&lt;&gt;10000000,  BT$19&gt;=$DW45,    BT$19&lt;=($DX45+$DH$17)  ))   ,$DV45,  "")</f>
        <v/>
      </c>
      <c r="BU45" s="111" t="str">
        <f aca="false">IF(    OR(   AND($C45=10000000,    $A$17&lt;=BU$19,      ($A$17+$DH$17)&gt;BU$19    ),   AND($C45&lt;&gt;10000000,  BU$19&gt;=$DW45,    BU$19&lt;=($DX45+$DH$17)  ))   ,$DV45,  "")</f>
        <v/>
      </c>
      <c r="BV45" s="111" t="str">
        <f aca="false">IF(    OR(   AND($C45=10000000,    $A$17&lt;=BV$19,      ($A$17+$DH$17)&gt;BV$19    ),   AND($C45&lt;&gt;10000000,  BV$19&gt;=$DW45,    BV$19&lt;=($DX45+$DH$17)  ))   ,$DV45,  "")</f>
        <v/>
      </c>
      <c r="BW45" s="111" t="str">
        <f aca="false">IF(    OR(   AND($C45=10000000,    $A$17&lt;=BW$19,      ($A$17+$DH$17)&gt;BW$19    ),   AND($C45&lt;&gt;10000000,  BW$19&gt;=$DW45,    BW$19&lt;=($DX45+$DH$17)  ))   ,$DV45,  "")</f>
        <v/>
      </c>
      <c r="BX45" s="111" t="str">
        <f aca="false">IF(    OR(   AND($C45=10000000,    $A$17&lt;=BX$19,      ($A$17+$DH$17)&gt;BX$19    ),   AND($C45&lt;&gt;10000000,  BX$19&gt;=$DW45,    BX$19&lt;=($DX45+$DH$17)  ))   ,$DV45,  "")</f>
        <v/>
      </c>
      <c r="BY45" s="111" t="str">
        <f aca="false">IF(    OR(   AND($C45=10000000,    $A$17&lt;=BY$19,      ($A$17+$DH$17)&gt;BY$19    ),   AND($C45&lt;&gt;10000000,  BY$19&gt;=$DW45,    BY$19&lt;=($DX45+$DH$17)  ))   ,$DV45,  "")</f>
        <v/>
      </c>
      <c r="BZ45" s="111" t="str">
        <f aca="false">IF(    OR(   AND($C45=10000000,    $A$17&lt;=BZ$19,      ($A$17+$DH$17)&gt;BZ$19    ),   AND($C45&lt;&gt;10000000,  BZ$19&gt;=$DW45,    BZ$19&lt;=($DX45+$DH$17)  ))   ,$DV45,  "")</f>
        <v/>
      </c>
      <c r="CA45" s="111" t="str">
        <f aca="false">IF(    OR(   AND($C45=10000000,    $A$17&lt;=CA$19,      ($A$17+$DH$17)&gt;CA$19    ),   AND($C45&lt;&gt;10000000,  CA$19&gt;=$DW45,    CA$19&lt;=($DX45+$DH$17)  ))   ,$DV45,  "")</f>
        <v/>
      </c>
      <c r="CB45" s="111" t="str">
        <f aca="false">IF(    OR(   AND($C45=10000000,    $A$17&lt;=CB$19,      ($A$17+$DH$17)&gt;CB$19    ),   AND($C45&lt;&gt;10000000,  CB$19&gt;=$DW45,    CB$19&lt;=($DX45+$DH$17)  ))   ,$DV45,  "")</f>
        <v/>
      </c>
      <c r="CC45" s="111" t="str">
        <f aca="false">IF(    OR(   AND($C45=10000000,    $A$17&lt;=CC$19,      ($A$17+$DH$17)&gt;CC$19    ),   AND($C45&lt;&gt;10000000,  CC$19&gt;=$DW45,    CC$19&lt;=($DX45+$DH$17)  ))   ,$DV45,  "")</f>
        <v/>
      </c>
      <c r="CD45" s="111" t="str">
        <f aca="false">IF(    OR(   AND($C45=10000000,    $A$17&lt;=CD$19,      ($A$17+$DH$17)&gt;CD$19    ),   AND($C45&lt;&gt;10000000,  CD$19&gt;=$DW45,    CD$19&lt;=($DX45+$DH$17)  ))   ,$DV45,  "")</f>
        <v/>
      </c>
      <c r="CE45" s="111" t="str">
        <f aca="false">IF(    OR(   AND($C45=10000000,    $A$17&lt;=CE$19,      ($A$17+$DH$17)&gt;CE$19    ),   AND($C45&lt;&gt;10000000,  CE$19&gt;=$DW45,    CE$19&lt;=($DX45+$DH$17)  ))   ,$DV45,  "")</f>
        <v/>
      </c>
      <c r="CF45" s="111" t="str">
        <f aca="false">IF(    OR(   AND($C45=10000000,    $A$17&lt;=CF$19,      ($A$17+$DH$17)&gt;CF$19    ),   AND($C45&lt;&gt;10000000,  CF$19&gt;=$DW45,    CF$19&lt;=($DX45+$DH$17)  ))   ,$DV45,  "")</f>
        <v/>
      </c>
      <c r="CG45" s="111" t="str">
        <f aca="false">IF(    OR(   AND($C45=10000000,    $A$17&lt;=CG$19,      ($A$17+$DH$17)&gt;CG$19    ),   AND($C45&lt;&gt;10000000,  CG$19&gt;=$DW45,    CG$19&lt;=($DX45+$DH$17)  ))   ,$DV45,  "")</f>
        <v/>
      </c>
      <c r="CH45" s="111" t="str">
        <f aca="false">IF(    OR(   AND($C45=10000000,    $A$17&lt;=CH$19,      ($A$17+$DH$17)&gt;CH$19    ),   AND($C45&lt;&gt;10000000,  CH$19&gt;=$DW45,    CH$19&lt;=($DX45+$DH$17)  ))   ,$DV45,  "")</f>
        <v/>
      </c>
      <c r="CI45" s="111" t="str">
        <f aca="false">IF(    OR(   AND($C45=10000000,    $A$17&lt;=CI$19,      ($A$17+$DH$17)&gt;CI$19    ),   AND($C45&lt;&gt;10000000,  CI$19&gt;=$DW45,    CI$19&lt;=($DX45+$DH$17)  ))   ,$DV45,  "")</f>
        <v/>
      </c>
      <c r="CJ45" s="111" t="str">
        <f aca="false">IF(    OR(   AND($C45=10000000,    $A$17&lt;=CJ$19,      ($A$17+$DH$17)&gt;CJ$19    ),   AND($C45&lt;&gt;10000000,  CJ$19&gt;=$DW45,    CJ$19&lt;=($DX45+$DH$17)  ))   ,$DV45,  "")</f>
        <v/>
      </c>
      <c r="CK45" s="111" t="str">
        <f aca="false">IF(    OR(   AND($C45=10000000,    $A$17&lt;=CK$19,      ($A$17+$DH$17)&gt;CK$19    ),   AND($C45&lt;&gt;10000000,  CK$19&gt;=$DW45,    CK$19&lt;=($DX45+$DH$17)  ))   ,$DV45,  "")</f>
        <v/>
      </c>
      <c r="CL45" s="111" t="str">
        <f aca="false">IF(    OR(   AND($C45=10000000,    $A$17&lt;=CL$19,      ($A$17+$DH$17)&gt;CL$19    ),   AND($C45&lt;&gt;10000000,  CL$19&gt;=$DW45,    CL$19&lt;=($DX45+$DH$17)  ))   ,$DV45,  "")</f>
        <v/>
      </c>
      <c r="CM45" s="111" t="str">
        <f aca="false">IF(    OR(   AND($C45=10000000,    $A$17&lt;=CM$19,      ($A$17+$DH$17)&gt;CM$19    ),   AND($C45&lt;&gt;10000000,  CM$19&gt;=$DW45,    CM$19&lt;=($DX45+$DH$17)  ))   ,$DV45,  "")</f>
        <v/>
      </c>
      <c r="CN45" s="111" t="str">
        <f aca="false">IF(    OR(   AND($C45=10000000,    $A$17&lt;=CN$19,      ($A$17+$DH$17)&gt;CN$19    ),   AND($C45&lt;&gt;10000000,  CN$19&gt;=$DW45,    CN$19&lt;=($DX45+$DH$17)  ))   ,$DV45,  "")</f>
        <v/>
      </c>
      <c r="CO45" s="111" t="str">
        <f aca="false">IF(    OR(   AND($C45=10000000,    $A$17&lt;=CO$19,      ($A$17+$DH$17)&gt;CO$19    ),   AND($C45&lt;&gt;10000000,  CO$19&gt;=$DW45,    CO$19&lt;=($DX45+$DH$17)  ))   ,$DV45,  "")</f>
        <v/>
      </c>
      <c r="CP45" s="111" t="str">
        <f aca="false">IF(    OR(   AND($C45=10000000,    $A$17&lt;=CP$19,      ($A$17+$DH$17)&gt;CP$19    ),   AND($C45&lt;&gt;10000000,  CP$19&gt;=$DW45,    CP$19&lt;=($DX45+$DH$17)  ))   ,$DV45,  "")</f>
        <v/>
      </c>
      <c r="CQ45" s="111" t="str">
        <f aca="false">IF(    OR(   AND($C45=10000000,    $A$17&lt;=CQ$19,      ($A$17+$DH$17)&gt;CQ$19    ),   AND($C45&lt;&gt;10000000,  CQ$19&gt;=$DW45,    CQ$19&lt;=($DX45+$DH$17)  ))   ,$DV45,  "")</f>
        <v/>
      </c>
      <c r="CR45" s="111" t="str">
        <f aca="false">IF(    OR(   AND($C45=10000000,    $A$17&lt;=CR$19,      ($A$17+$DH$17)&gt;CR$19    ),   AND($C45&lt;&gt;10000000,  CR$19&gt;=$DW45,    CR$19&lt;=($DX45+$DH$17)  ))   ,$DV45,  "")</f>
        <v/>
      </c>
      <c r="CS45" s="111" t="str">
        <f aca="false">IF(    OR(   AND($C45=10000000,    $A$17&lt;=CS$19,      ($A$17+$DH$17)&gt;CS$19    ),   AND($C45&lt;&gt;10000000,  CS$19&gt;=$DW45,    CS$19&lt;=($DX45+$DH$17)  ))   ,$DV45,  "")</f>
        <v/>
      </c>
      <c r="CT45" s="111" t="str">
        <f aca="false">IF(    OR(   AND($C45=10000000,    $A$17&lt;=CT$19,      ($A$17+$DH$17)&gt;CT$19    ),   AND($C45&lt;&gt;10000000,  CT$19&gt;=$DW45,    CT$19&lt;=($DX45+$DH$17)  ))   ,$DV45,  "")</f>
        <v/>
      </c>
      <c r="CU45" s="111" t="str">
        <f aca="false">IF(    OR(   AND($C45=10000000,    $A$17&lt;=CU$19,      ($A$17+$DH$17)&gt;CU$19    ),   AND($C45&lt;&gt;10000000,  CU$19&gt;=$DW45,    CU$19&lt;=($DX45+$DH$17)  ))   ,$DV45,  "")</f>
        <v/>
      </c>
      <c r="CV45" s="111" t="str">
        <f aca="false">IF(    OR(   AND($C45=10000000,    $A$17&lt;=CV$19,      ($A$17+$DH$17)&gt;CV$19    ),   AND($C45&lt;&gt;10000000,  CV$19&gt;=$DW45,    CV$19&lt;=($DX45+$DH$17)  ))   ,$DV45,  "")</f>
        <v/>
      </c>
      <c r="CW45" s="111" t="str">
        <f aca="false">IF(    OR(   AND($C45=10000000,    $A$17&lt;=CW$19,      ($A$17+$DH$17)&gt;CW$19    ),   AND($C45&lt;&gt;10000000,  CW$19&gt;=$DW45,    CW$19&lt;=($DX45+$DH$17)  ))   ,$DV45,  "")</f>
        <v/>
      </c>
      <c r="CX45" s="111" t="str">
        <f aca="false">IF(    OR(   AND($C45=10000000,    $A$17&lt;=CX$19,      ($A$17+$DH$17)&gt;CX$19    ),   AND($C45&lt;&gt;10000000,  CX$19&gt;=$DW45,    CX$19&lt;=($DX45+$DH$17)  ))   ,$DV45,  "")</f>
        <v/>
      </c>
      <c r="CY45" s="111" t="str">
        <f aca="false">IF(    OR(   AND($C45=10000000,    $A$17&lt;=CY$19,      ($A$17+$DH$17)&gt;CY$19    ),   AND($C45&lt;&gt;10000000,  CY$19&gt;=$DW45,    CY$19&lt;=($DX45+$DH$17)  ))   ,$DV45,  "")</f>
        <v/>
      </c>
      <c r="CZ45" s="111" t="str">
        <f aca="false">IF(    OR(   AND($C45=10000000,    $A$17&lt;=CZ$19,      ($A$17+$DH$17)&gt;CZ$19    ),   AND($C45&lt;&gt;10000000,  CZ$19&gt;=$DW45,    CZ$19&lt;=($DX45+$DH$17)  ))   ,$DV45,  "")</f>
        <v/>
      </c>
      <c r="DA45" s="111" t="str">
        <f aca="false">IF(    OR(   AND($C45=10000000,    $A$17&lt;=DA$19,      ($A$17+$DH$17)&gt;DA$19    ),   AND($C45&lt;&gt;10000000,  DA$19&gt;=$DW45,    DA$19&lt;=($DX45+$DH$17)  ))   ,$DV45,  "")</f>
        <v/>
      </c>
      <c r="DB45" s="111" t="str">
        <f aca="false">IF(    OR(   AND($C45=10000000,    $A$17&lt;=DB$19,      ($A$17+$DH$17)&gt;DB$19    ),   AND($C45&lt;&gt;10000000,  DB$19&gt;=$DW45,    DB$19&lt;=($DX45+$DH$17)  ))   ,$DV45,  "")</f>
        <v/>
      </c>
      <c r="DC45" s="111" t="str">
        <f aca="false">IF(    OR(   AND($C45=10000000,    $A$17&lt;=DC$19,      ($A$17+$DH$17)&gt;DC$19    ),   AND($C45&lt;&gt;10000000,  DC$19&gt;=$DW45,    DC$19&lt;=($DX45+$DH$17)  ))   ,$DV45,  "")</f>
        <v/>
      </c>
      <c r="DD45" s="111" t="str">
        <f aca="false">IF(    OR(   AND($C45=10000000,    $A$17&lt;=DD$19,      ($A$17+$DH$17)&gt;DD$19    ),   AND($C45&lt;&gt;10000000,  DD$19&gt;=$DW45,    DD$19&lt;=($DX45+$DH$17)  ))   ,$DV45,  "")</f>
        <v/>
      </c>
      <c r="DE45" s="111" t="str">
        <f aca="false">IF(    OR(   AND($C45=10000000,    $A$17&lt;=DE$19,      ($A$17+$DH$17)&gt;DE$19    ),   AND($C45&lt;&gt;10000000,  DE$19&gt;=$DW45,    DE$19&lt;=($DX45+$DH$17)  ))   ,$DV45,  "")</f>
        <v/>
      </c>
      <c r="DF45" s="111" t="str">
        <f aca="false">IF(    OR(   AND($C45=10000000,    $A$17&lt;=DF$19,      ($A$17+$DH$17)&gt;DF$19    ),   AND($C45&lt;&gt;10000000,  DF$19&gt;=$DW45,    DF$19&lt;=($DX45+$DH$17)  ))   ,$DV45,  "")</f>
        <v/>
      </c>
      <c r="DG45" s="111" t="str">
        <f aca="false">IF(    OR(   AND($C45=10000000,    $A$17&lt;=DG$19,      ($A$17+$DH$17)&gt;DG$19    ),   AND($C45&lt;&gt;10000000,  DG$19&gt;=$DW45,    DG$19&lt;=($DX45+$DH$17)  ))   ,$DV45,  "")</f>
        <v/>
      </c>
      <c r="DH45" s="111" t="str">
        <f aca="false">IF(    OR(   AND($C45=10000000,    $A$17&lt;=DH$19,      ($A$17+$DH$17)&gt;DH$19    ),   AND($C45&lt;&gt;10000000,  DH$19&gt;=$DW45,    DH$19&lt;=($DX45+$DH$17)  ))   ,$DV45,  "")</f>
        <v/>
      </c>
      <c r="DI45" s="112" t="str">
        <f aca="false">IF(BB45="","",IF(ISERROR(FIND(CHAR(10),BB45,1)),BB45,LEFT(BB45,FIND(CHAR(10),BB45,1))))</f>
        <v/>
      </c>
      <c r="DJ45" s="53" t="str">
        <f aca="false">IF(BB45="","",IFERROR(RIGHT(BB45,LEN(BB45)-FIND("@@@",SUBSTITUTE(BB45,CHAR(10),"@@@",LEN(BB45)-LEN(SUBSTITUTE(BB45,CHAR(10),""))),1)),BB45))</f>
        <v/>
      </c>
      <c r="DK45" s="53" t="str">
        <f aca="false">IF(BC45="","",IFERROR(RIGHT(BC45,LEN(BC45)-FIND("@@@",SUBSTITUTE(BC45,CHAR(10),"@@@",LEN(BC45)-LEN(SUBSTITUTE(BC45,CHAR(10),""))),1)),BC45))</f>
        <v/>
      </c>
      <c r="DL45" s="113" t="str">
        <f aca="false">IFERROR(DATE(("20"&amp;MID(DI45,7,2))*1,MID(DI45,4,2)*1,MID(DI45,1,2)*1),"none")</f>
        <v>none</v>
      </c>
      <c r="DM45" s="113" t="str">
        <f aca="false">IFERROR(DATE(("20"&amp;MID(DJ45,7,2))*1,MID(DJ45,4,2)*1,MID(DJ45,1,2)*1),"none")</f>
        <v>none</v>
      </c>
      <c r="DN45" s="113" t="n">
        <f aca="false">IF(DL45&lt;&gt;"none",DL45,DATE(1900,1,1))</f>
        <v>2</v>
      </c>
      <c r="DO45" s="113" t="n">
        <f aca="false">IF(DM45&lt;&gt;"none",DM45,DN45)</f>
        <v>2</v>
      </c>
      <c r="DP45" s="114" t="n">
        <f aca="false">_xlfn.DAYS($A$17,DN45)</f>
        <v>45332</v>
      </c>
      <c r="DQ45" s="114" t="n">
        <f aca="false">_xlfn.DAYS($A$17, DO45)</f>
        <v>45332</v>
      </c>
      <c r="DR45" s="51" t="n">
        <f aca="false">IF(DO45&lt;&gt;"",INT(DQ45/7),0)</f>
        <v>6476</v>
      </c>
      <c r="DS45" s="114" t="n">
        <f aca="false">IF(M45="Overdue",_xlfn.DAYS($A$17,AL45),0)</f>
        <v>0</v>
      </c>
      <c r="DT45" s="114" t="n">
        <f aca="false">IF(AH45="Project",_xlfn.DAYS(AL45,$A$17),0)</f>
        <v>0</v>
      </c>
      <c r="DU45" s="51" t="str">
        <f aca="false">IFERROR(INDEX(Static!$D$5:$E$11,MATCH(AH45,Static!$D$5:$D$11,0),2),"")</f>
        <v/>
      </c>
      <c r="DV45" s="51" t="str">
        <f aca="false">IF(C45=10000000,"Red",IF(OR(C45=11000000,C45=12000000),"Black",IF(C45=11100000,"Dark",IF(AND(C45=12100000,M45="Completed"),"Green",IF(AND(C45=12100000,M45="Overdue"),"Red",IF(C45=12100000,"Dark",IF(AND(C45=12110000,M45="Overdue"),"LightRed",IF(AND(C45=12110000,M45="Completed"),"LightGreen",IF(OR(C45=11110000,C45=12110000),"Light",IF(AND(C45=12111000,M45="Overdue"),"SoftRed",IF(AND(C45=12111000,M45="Completed"),"SoftGreen",IF(OR(C45=11111000,C45=12111000),"Grey",""))))))))))))</f>
        <v/>
      </c>
      <c r="DW45" s="49" t="n">
        <f aca="false">IF(AK45&lt;&gt;"",AK45,$BI$19)</f>
        <v>44927</v>
      </c>
      <c r="DX45" s="49" t="n">
        <f aca="false">IF(AL45&lt;&gt;"",AL45,$DH$19)</f>
        <v>45657</v>
      </c>
      <c r="DY45" s="79" t="s">
        <v>450</v>
      </c>
    </row>
    <row r="46" customFormat="false" ht="14.15" hidden="false" customHeight="true" outlineLevel="0" collapsed="false">
      <c r="A46" s="63"/>
      <c r="B46" s="53" t="n">
        <f aca="false">AH46</f>
        <v>0</v>
      </c>
      <c r="C46" s="51" t="n">
        <f aca="false">IFERROR(INDEX(Static!$D$5:$F$11,MATCH(AH46,Static!$D$5:$D$11,0),3),90000000)</f>
        <v>90000000</v>
      </c>
      <c r="D46" s="51" t="str">
        <f aca="false">MID(C46,2,1)</f>
        <v>0</v>
      </c>
      <c r="E46" s="53" t="str">
        <f aca="false">AB46</f>
        <v/>
      </c>
      <c r="F46" s="51" t="str">
        <f aca="false">IF(B46="Venture",0,IF(OR(B46="Project",B46="Stream",B46="Action"),AK46,""))</f>
        <v/>
      </c>
      <c r="G46" s="51" t="n">
        <f aca="false">AS46</f>
        <v>0</v>
      </c>
      <c r="H46" s="51" t="str">
        <f aca="false">IF(B46="Venture",0,IFERROR(INDEX($E$20:$F$55,MATCH(G46,$E$20:$E$55,0),2),""))</f>
        <v/>
      </c>
      <c r="I46" s="51" t="str">
        <f aca="false">IF(B46="Venture",0,IFERROR(INDEX($E$20:$G$55,MATCH(G46,$E$20:$E$55,0),3),""))</f>
        <v/>
      </c>
      <c r="J46" s="51" t="str">
        <f aca="false">IF(B46="Venture",0,IFERROR(INDEX($E$20:$H$55,MATCH(G46,$E$20:$E$55,0),4),""))</f>
        <v/>
      </c>
      <c r="K46" s="51" t="n">
        <f aca="false">IF(B46="Venture",0,IFERROR(INDEX($E$20:$G$55,MATCH(I46,$E$20:$E$55,0),3),""))</f>
        <v>0</v>
      </c>
      <c r="L46" s="51" t="str">
        <f aca="false">IF(M46="Completed","Completed","Ongoing")</f>
        <v>Ongoing</v>
      </c>
      <c r="M46" s="51" t="n">
        <f aca="false">IF(OR(AH46="Venture",AH46="Routine",AH46="Run Goal", AH46="Chg Goal", AH46=""),AH46,IF(AN46&lt;&gt;"","Completed",IF(AM46&lt;&gt;"","Pending",IF(AND(AL46&lt;&gt;"",$A$17&gt;AL46),"Overdue",IF($A$17&gt;AK46,"Started","Open")))))</f>
        <v>0</v>
      </c>
      <c r="N46" s="50" t="n">
        <f aca="false">((LEN($BC46)-LEN(SUBSTITUTE($BC46,CHAR(10)&amp;". ","")))/3)+IF(LEFT(TRIM($BC46),2)=". ",1,0)</f>
        <v>0</v>
      </c>
      <c r="O46" s="50" t="n">
        <f aca="false">((LEN($BC46)-LEN(SUBSTITUTE($BC46,CHAR(10)&amp;"/ ","")))/3)+IF(LEFT(TRIM($BC46),2)="/ ",1,0)</f>
        <v>0</v>
      </c>
      <c r="P46" s="50" t="n">
        <f aca="false">((LEN($BC46)-LEN(SUBSTITUTE($BC46,CHAR(10)&amp;"~ ","")))/3)+IF(LEFT(TRIM($BC46),2)="~ ",1,0)</f>
        <v>0</v>
      </c>
      <c r="Q46" s="50" t="n">
        <f aca="false">((LEN($BC46)-LEN(SUBSTITUTE($BC46,CHAR(10)&amp;"! ","")))/3)+IF(LEFT(TRIM($BC46),2)="! ",1,0)</f>
        <v>0</v>
      </c>
      <c r="R46" s="50" t="n">
        <f aca="false">((LEN($BC46)-LEN(SUBSTITUTE($BC46,CHAR(10)&amp;"x ","")))/3)+IF(LEFT(TRIM($BC46),2)="x ",1,0)</f>
        <v>0</v>
      </c>
      <c r="S46" s="50" t="n">
        <f aca="false">SUM(N46:R46)</f>
        <v>0</v>
      </c>
      <c r="T46" s="51" t="n">
        <f aca="false">IF(OR($B46="Drill",$B46="Action"),$AO46,0)</f>
        <v>0</v>
      </c>
      <c r="U46" s="51" t="n">
        <f aca="false">IF(OR($B46="Sub",$B46="Stream"),$AO46+SUMIFS($AO$20:$AO$55,$G$20:$G$55,$E46),0)</f>
        <v>0</v>
      </c>
      <c r="V46" s="51" t="n">
        <f aca="false">IF(OR($B46="Routine",$B46="Project"),$AO46+SUMIFS($U$20:$U$55,$G$20:$G$55,$E46),0)</f>
        <v>0</v>
      </c>
      <c r="W46" s="51" t="n">
        <f aca="false">IF($B46="Venture",$AO46+SUMIFS($V$20:$V$55,$G$20:$G$55,$E46),0)</f>
        <v>0</v>
      </c>
      <c r="X46" s="51" t="n">
        <f aca="false">IF(OR($B46="Drill",$B46="Action"),$AP46,0)</f>
        <v>0</v>
      </c>
      <c r="Y46" s="51" t="n">
        <f aca="false">IF(OR($B46="Sub",$B46="Stream"),$AP46+SUMIFS($AP$20:$AP$55,$G$20:$G$55,$E46),0)</f>
        <v>0</v>
      </c>
      <c r="Z46" s="51" t="n">
        <f aca="false">IF(OR($B46="Routine",$B46="Project"),$AP46+SUMIFS($Y$20:$Y$55,$G$20:$G$55,$E46),0)</f>
        <v>0</v>
      </c>
      <c r="AA46" s="51" t="n">
        <f aca="false">IF($B46="Venture",$AP46+SUMIFS($Z$20:$Z$55,$G$20:$G$55,$E46),0)</f>
        <v>0</v>
      </c>
      <c r="AB46" s="51" t="str">
        <f aca="false">IF(OR(AH46="Venture", AH46="Run Goal", AH46="Chg Goal"),AI46,AH46&amp;AI46&amp;AR46)</f>
        <v/>
      </c>
      <c r="AC46" s="53" t="str">
        <f aca="false">"  -  "&amp;IF(C46=90000000,9&amp;"Z",D46&amp;AE46&amp;IF(OR(B46="Run Goal",B46="Chg Goal", B46="Venture"),"",IF(OR(B46="Routine",B46="Project"),F46&amp;E46,  IF(OR(B46="Sub",B46="Stream"),H46&amp;G46&amp;F46&amp;E46,IF(OR(B46="Drill",B46="Action"),J46&amp;I46&amp;H46&amp;G46&amp;F46&amp;E46,     "") )    )))</f>
        <v>  -  9Z</v>
      </c>
      <c r="AD46" s="51" t="str">
        <f aca="false">IF(AND(AM46="",AN46=""),"Y","N")</f>
        <v>Y</v>
      </c>
      <c r="AE46" s="103" t="str">
        <f aca="false">IF(OR(AF46="Y",AF46="Y"),AF46,IF(DM46="none","N",IF(DM46&gt;($A$17-WEEKDAY($A$17,2)-(7*$AE$18)),"Y","N")))</f>
        <v>N</v>
      </c>
      <c r="AF46" s="104"/>
      <c r="AG46" s="105"/>
      <c r="AH46" s="79"/>
      <c r="AI46" s="56"/>
      <c r="AJ46" s="56"/>
      <c r="AK46" s="106"/>
      <c r="AL46" s="106"/>
      <c r="AM46" s="106"/>
      <c r="AN46" s="106"/>
      <c r="AO46" s="107"/>
      <c r="AP46" s="107"/>
      <c r="AQ46" s="79"/>
      <c r="AR46" s="79"/>
      <c r="AS46" s="79"/>
      <c r="AT46" s="79"/>
      <c r="AU46" s="79"/>
      <c r="AV46" s="79"/>
      <c r="AW46" s="79"/>
      <c r="AX46" s="79"/>
      <c r="AY46" s="79"/>
      <c r="AZ46" s="79"/>
      <c r="BA46" s="63"/>
      <c r="BB46" s="108"/>
      <c r="BC46" s="63"/>
      <c r="BD46" s="51" t="n">
        <f aca="false">SUM(N46:Q46)</f>
        <v>0</v>
      </c>
      <c r="BE46" s="59" t="n">
        <f aca="false">IF(AI46="",1,IF(S46&lt;&gt;0,(O46*0.5+R46)/S46,1))</f>
        <v>1</v>
      </c>
      <c r="BF46" s="81" t="str">
        <f aca="false">IF(AH46="","",IF(AH46="Venture",W46,IF(OR(AH46="Chg Goal",AH46="RUn Goal"),V46,IF(OR(AH46="ROutine",AH46="Project"),V46,IF(OR(AH46="Sub",AH46="Stream"),U46,IF(OR(AH46="Drill",AH46="Action"),T46,0))))))</f>
        <v/>
      </c>
      <c r="BG46" s="81" t="str">
        <f aca="false">IF(AH46="","",IF(AH46="Venture",AA46,IF(OR(AH46="Chg Goal",AH46="RUn Goal"),Z46,IF(OR(AH46="ROutine",AH46="Project"),Z46,IF(OR(AH46="Sub",AH46="Stream"),Y46,IF(OR(AH46="Drill",AH46="Action"),X46,0))))))</f>
        <v/>
      </c>
      <c r="BH46" s="109" t="str">
        <f aca="false">IF(AI46="","",IF(OR(BF46=0, BF46=""),0,BG46/BF46))</f>
        <v/>
      </c>
      <c r="BI46" s="110" t="str">
        <f aca="false">IF(    OR(   AND($C46=10000000,    BI$19&gt;=$A$17,      BI$19 &lt;($A$17+$DH$17)   ),   AND($C46&lt;&gt;10000000,  BI$19&gt;=$DW46,    BI$19&lt;=($DX46+$DH$17)  ))   ,$DV46,  "")</f>
        <v/>
      </c>
      <c r="BJ46" s="111" t="str">
        <f aca="false">IF(    OR(   AND($C46=10000000,    $A$17&lt;=BJ$19,      ($A$17+$DH$17)&gt;BJ$19    ),   AND($C46&lt;&gt;10000000,  BJ$19&gt;=$DW46,    BJ$19&lt;=($DX46+$DH$17)  ))   ,$DV46,  "")</f>
        <v/>
      </c>
      <c r="BK46" s="111" t="str">
        <f aca="false">IF(    OR(   AND($C46=10000000,    $A$17&lt;=BK$19,      ($A$17+$DH$17)&gt;BK$19    ),   AND($C46&lt;&gt;10000000,  BK$19&gt;=$DW46,    BK$19&lt;=($DX46+$DH$17)  ))   ,$DV46,  "")</f>
        <v/>
      </c>
      <c r="BL46" s="111" t="str">
        <f aca="false">IF(    OR(   AND($C46=10000000,    $A$17&lt;=BL$19,      ($A$17+$DH$17)&gt;BL$19    ),   AND($C46&lt;&gt;10000000,  BL$19&gt;=$DW46,    BL$19&lt;=($DX46+$DH$17)  ))   ,$DV46,  "")</f>
        <v/>
      </c>
      <c r="BM46" s="111" t="str">
        <f aca="false">IF(    OR(   AND($C46=10000000,    $A$17&lt;=BM$19,      ($A$17+$DH$17)&gt;BM$19    ),   AND($C46&lt;&gt;10000000,  BM$19&gt;=$DW46,    BM$19&lt;=($DX46+$DH$17)  ))   ,$DV46,  "")</f>
        <v/>
      </c>
      <c r="BN46" s="111" t="str">
        <f aca="false">IF(    OR(   AND($C46=10000000,    $A$17&lt;=BN$19,      ($A$17+$DH$17)&gt;BN$19    ),   AND($C46&lt;&gt;10000000,  BN$19&gt;=$DW46,    BN$19&lt;=($DX46+$DH$17)  ))   ,$DV46,  "")</f>
        <v/>
      </c>
      <c r="BO46" s="111" t="str">
        <f aca="false">IF(    OR(   AND($C46=10000000,    $A$17&lt;=BO$19,      ($A$17+$DH$17)&gt;BO$19    ),   AND($C46&lt;&gt;10000000,  BO$19&gt;=$DW46,    BO$19&lt;=($DX46+$DH$17)  ))   ,$DV46,  "")</f>
        <v/>
      </c>
      <c r="BP46" s="111" t="str">
        <f aca="false">IF(    OR(   AND($C46=10000000,    $A$17&lt;=BP$19,      ($A$17+$DH$17)&gt;BP$19    ),   AND($C46&lt;&gt;10000000,  BP$19&gt;=$DW46,    BP$19&lt;=($DX46+$DH$17)  ))   ,$DV46,  "")</f>
        <v/>
      </c>
      <c r="BQ46" s="111" t="str">
        <f aca="false">IF(    OR(   AND($C46=10000000,    $A$17&lt;=BQ$19,      ($A$17+$DH$17)&gt;BQ$19    ),   AND($C46&lt;&gt;10000000,  BQ$19&gt;=$DW46,    BQ$19&lt;=($DX46+$DH$17)  ))   ,$DV46,  "")</f>
        <v/>
      </c>
      <c r="BR46" s="111" t="str">
        <f aca="false">IF(    OR(   AND($C46=10000000,    $A$17&lt;=BR$19,      ($A$17+$DH$17)&gt;BR$19    ),   AND($C46&lt;&gt;10000000,  BR$19&gt;=$DW46,    BR$19&lt;=($DX46+$DH$17)  ))   ,$DV46,  "")</f>
        <v/>
      </c>
      <c r="BS46" s="111" t="str">
        <f aca="false">IF(    OR(   AND($C46=10000000,    $A$17&lt;=BS$19,      ($A$17+$DH$17)&gt;BS$19    ),   AND($C46&lt;&gt;10000000,  BS$19&gt;=$DW46,    BS$19&lt;=($DX46+$DH$17)  ))   ,$DV46,  "")</f>
        <v/>
      </c>
      <c r="BT46" s="111" t="str">
        <f aca="false">IF(    OR(   AND($C46=10000000,    $A$17&lt;=BT$19,      ($A$17+$DH$17)&gt;BT$19    ),   AND($C46&lt;&gt;10000000,  BT$19&gt;=$DW46,    BT$19&lt;=($DX46+$DH$17)  ))   ,$DV46,  "")</f>
        <v/>
      </c>
      <c r="BU46" s="111" t="str">
        <f aca="false">IF(    OR(   AND($C46=10000000,    $A$17&lt;=BU$19,      ($A$17+$DH$17)&gt;BU$19    ),   AND($C46&lt;&gt;10000000,  BU$19&gt;=$DW46,    BU$19&lt;=($DX46+$DH$17)  ))   ,$DV46,  "")</f>
        <v/>
      </c>
      <c r="BV46" s="111" t="str">
        <f aca="false">IF(    OR(   AND($C46=10000000,    $A$17&lt;=BV$19,      ($A$17+$DH$17)&gt;BV$19    ),   AND($C46&lt;&gt;10000000,  BV$19&gt;=$DW46,    BV$19&lt;=($DX46+$DH$17)  ))   ,$DV46,  "")</f>
        <v/>
      </c>
      <c r="BW46" s="111" t="str">
        <f aca="false">IF(    OR(   AND($C46=10000000,    $A$17&lt;=BW$19,      ($A$17+$DH$17)&gt;BW$19    ),   AND($C46&lt;&gt;10000000,  BW$19&gt;=$DW46,    BW$19&lt;=($DX46+$DH$17)  ))   ,$DV46,  "")</f>
        <v/>
      </c>
      <c r="BX46" s="111" t="str">
        <f aca="false">IF(    OR(   AND($C46=10000000,    $A$17&lt;=BX$19,      ($A$17+$DH$17)&gt;BX$19    ),   AND($C46&lt;&gt;10000000,  BX$19&gt;=$DW46,    BX$19&lt;=($DX46+$DH$17)  ))   ,$DV46,  "")</f>
        <v/>
      </c>
      <c r="BY46" s="111" t="str">
        <f aca="false">IF(    OR(   AND($C46=10000000,    $A$17&lt;=BY$19,      ($A$17+$DH$17)&gt;BY$19    ),   AND($C46&lt;&gt;10000000,  BY$19&gt;=$DW46,    BY$19&lt;=($DX46+$DH$17)  ))   ,$DV46,  "")</f>
        <v/>
      </c>
      <c r="BZ46" s="111" t="str">
        <f aca="false">IF(    OR(   AND($C46=10000000,    $A$17&lt;=BZ$19,      ($A$17+$DH$17)&gt;BZ$19    ),   AND($C46&lt;&gt;10000000,  BZ$19&gt;=$DW46,    BZ$19&lt;=($DX46+$DH$17)  ))   ,$DV46,  "")</f>
        <v/>
      </c>
      <c r="CA46" s="111" t="str">
        <f aca="false">IF(    OR(   AND($C46=10000000,    $A$17&lt;=CA$19,      ($A$17+$DH$17)&gt;CA$19    ),   AND($C46&lt;&gt;10000000,  CA$19&gt;=$DW46,    CA$19&lt;=($DX46+$DH$17)  ))   ,$DV46,  "")</f>
        <v/>
      </c>
      <c r="CB46" s="111" t="str">
        <f aca="false">IF(    OR(   AND($C46=10000000,    $A$17&lt;=CB$19,      ($A$17+$DH$17)&gt;CB$19    ),   AND($C46&lt;&gt;10000000,  CB$19&gt;=$DW46,    CB$19&lt;=($DX46+$DH$17)  ))   ,$DV46,  "")</f>
        <v/>
      </c>
      <c r="CC46" s="111" t="str">
        <f aca="false">IF(    OR(   AND($C46=10000000,    $A$17&lt;=CC$19,      ($A$17+$DH$17)&gt;CC$19    ),   AND($C46&lt;&gt;10000000,  CC$19&gt;=$DW46,    CC$19&lt;=($DX46+$DH$17)  ))   ,$DV46,  "")</f>
        <v/>
      </c>
      <c r="CD46" s="111" t="str">
        <f aca="false">IF(    OR(   AND($C46=10000000,    $A$17&lt;=CD$19,      ($A$17+$DH$17)&gt;CD$19    ),   AND($C46&lt;&gt;10000000,  CD$19&gt;=$DW46,    CD$19&lt;=($DX46+$DH$17)  ))   ,$DV46,  "")</f>
        <v/>
      </c>
      <c r="CE46" s="111" t="str">
        <f aca="false">IF(    OR(   AND($C46=10000000,    $A$17&lt;=CE$19,      ($A$17+$DH$17)&gt;CE$19    ),   AND($C46&lt;&gt;10000000,  CE$19&gt;=$DW46,    CE$19&lt;=($DX46+$DH$17)  ))   ,$DV46,  "")</f>
        <v/>
      </c>
      <c r="CF46" s="111" t="str">
        <f aca="false">IF(    OR(   AND($C46=10000000,    $A$17&lt;=CF$19,      ($A$17+$DH$17)&gt;CF$19    ),   AND($C46&lt;&gt;10000000,  CF$19&gt;=$DW46,    CF$19&lt;=($DX46+$DH$17)  ))   ,$DV46,  "")</f>
        <v/>
      </c>
      <c r="CG46" s="111" t="str">
        <f aca="false">IF(    OR(   AND($C46=10000000,    $A$17&lt;=CG$19,      ($A$17+$DH$17)&gt;CG$19    ),   AND($C46&lt;&gt;10000000,  CG$19&gt;=$DW46,    CG$19&lt;=($DX46+$DH$17)  ))   ,$DV46,  "")</f>
        <v/>
      </c>
      <c r="CH46" s="111" t="str">
        <f aca="false">IF(    OR(   AND($C46=10000000,    $A$17&lt;=CH$19,      ($A$17+$DH$17)&gt;CH$19    ),   AND($C46&lt;&gt;10000000,  CH$19&gt;=$DW46,    CH$19&lt;=($DX46+$DH$17)  ))   ,$DV46,  "")</f>
        <v/>
      </c>
      <c r="CI46" s="111" t="str">
        <f aca="false">IF(    OR(   AND($C46=10000000,    $A$17&lt;=CI$19,      ($A$17+$DH$17)&gt;CI$19    ),   AND($C46&lt;&gt;10000000,  CI$19&gt;=$DW46,    CI$19&lt;=($DX46+$DH$17)  ))   ,$DV46,  "")</f>
        <v/>
      </c>
      <c r="CJ46" s="111" t="str">
        <f aca="false">IF(    OR(   AND($C46=10000000,    $A$17&lt;=CJ$19,      ($A$17+$DH$17)&gt;CJ$19    ),   AND($C46&lt;&gt;10000000,  CJ$19&gt;=$DW46,    CJ$19&lt;=($DX46+$DH$17)  ))   ,$DV46,  "")</f>
        <v/>
      </c>
      <c r="CK46" s="111" t="str">
        <f aca="false">IF(    OR(   AND($C46=10000000,    $A$17&lt;=CK$19,      ($A$17+$DH$17)&gt;CK$19    ),   AND($C46&lt;&gt;10000000,  CK$19&gt;=$DW46,    CK$19&lt;=($DX46+$DH$17)  ))   ,$DV46,  "")</f>
        <v/>
      </c>
      <c r="CL46" s="111" t="str">
        <f aca="false">IF(    OR(   AND($C46=10000000,    $A$17&lt;=CL$19,      ($A$17+$DH$17)&gt;CL$19    ),   AND($C46&lt;&gt;10000000,  CL$19&gt;=$DW46,    CL$19&lt;=($DX46+$DH$17)  ))   ,$DV46,  "")</f>
        <v/>
      </c>
      <c r="CM46" s="111" t="str">
        <f aca="false">IF(    OR(   AND($C46=10000000,    $A$17&lt;=CM$19,      ($A$17+$DH$17)&gt;CM$19    ),   AND($C46&lt;&gt;10000000,  CM$19&gt;=$DW46,    CM$19&lt;=($DX46+$DH$17)  ))   ,$DV46,  "")</f>
        <v/>
      </c>
      <c r="CN46" s="111" t="str">
        <f aca="false">IF(    OR(   AND($C46=10000000,    $A$17&lt;=CN$19,      ($A$17+$DH$17)&gt;CN$19    ),   AND($C46&lt;&gt;10000000,  CN$19&gt;=$DW46,    CN$19&lt;=($DX46+$DH$17)  ))   ,$DV46,  "")</f>
        <v/>
      </c>
      <c r="CO46" s="111" t="str">
        <f aca="false">IF(    OR(   AND($C46=10000000,    $A$17&lt;=CO$19,      ($A$17+$DH$17)&gt;CO$19    ),   AND($C46&lt;&gt;10000000,  CO$19&gt;=$DW46,    CO$19&lt;=($DX46+$DH$17)  ))   ,$DV46,  "")</f>
        <v/>
      </c>
      <c r="CP46" s="111" t="str">
        <f aca="false">IF(    OR(   AND($C46=10000000,    $A$17&lt;=CP$19,      ($A$17+$DH$17)&gt;CP$19    ),   AND($C46&lt;&gt;10000000,  CP$19&gt;=$DW46,    CP$19&lt;=($DX46+$DH$17)  ))   ,$DV46,  "")</f>
        <v/>
      </c>
      <c r="CQ46" s="111" t="str">
        <f aca="false">IF(    OR(   AND($C46=10000000,    $A$17&lt;=CQ$19,      ($A$17+$DH$17)&gt;CQ$19    ),   AND($C46&lt;&gt;10000000,  CQ$19&gt;=$DW46,    CQ$19&lt;=($DX46+$DH$17)  ))   ,$DV46,  "")</f>
        <v/>
      </c>
      <c r="CR46" s="111" t="str">
        <f aca="false">IF(    OR(   AND($C46=10000000,    $A$17&lt;=CR$19,      ($A$17+$DH$17)&gt;CR$19    ),   AND($C46&lt;&gt;10000000,  CR$19&gt;=$DW46,    CR$19&lt;=($DX46+$DH$17)  ))   ,$DV46,  "")</f>
        <v/>
      </c>
      <c r="CS46" s="111" t="str">
        <f aca="false">IF(    OR(   AND($C46=10000000,    $A$17&lt;=CS$19,      ($A$17+$DH$17)&gt;CS$19    ),   AND($C46&lt;&gt;10000000,  CS$19&gt;=$DW46,    CS$19&lt;=($DX46+$DH$17)  ))   ,$DV46,  "")</f>
        <v/>
      </c>
      <c r="CT46" s="111" t="str">
        <f aca="false">IF(    OR(   AND($C46=10000000,    $A$17&lt;=CT$19,      ($A$17+$DH$17)&gt;CT$19    ),   AND($C46&lt;&gt;10000000,  CT$19&gt;=$DW46,    CT$19&lt;=($DX46+$DH$17)  ))   ,$DV46,  "")</f>
        <v/>
      </c>
      <c r="CU46" s="111" t="str">
        <f aca="false">IF(    OR(   AND($C46=10000000,    $A$17&lt;=CU$19,      ($A$17+$DH$17)&gt;CU$19    ),   AND($C46&lt;&gt;10000000,  CU$19&gt;=$DW46,    CU$19&lt;=($DX46+$DH$17)  ))   ,$DV46,  "")</f>
        <v/>
      </c>
      <c r="CV46" s="111" t="str">
        <f aca="false">IF(    OR(   AND($C46=10000000,    $A$17&lt;=CV$19,      ($A$17+$DH$17)&gt;CV$19    ),   AND($C46&lt;&gt;10000000,  CV$19&gt;=$DW46,    CV$19&lt;=($DX46+$DH$17)  ))   ,$DV46,  "")</f>
        <v/>
      </c>
      <c r="CW46" s="111" t="str">
        <f aca="false">IF(    OR(   AND($C46=10000000,    $A$17&lt;=CW$19,      ($A$17+$DH$17)&gt;CW$19    ),   AND($C46&lt;&gt;10000000,  CW$19&gt;=$DW46,    CW$19&lt;=($DX46+$DH$17)  ))   ,$DV46,  "")</f>
        <v/>
      </c>
      <c r="CX46" s="111" t="str">
        <f aca="false">IF(    OR(   AND($C46=10000000,    $A$17&lt;=CX$19,      ($A$17+$DH$17)&gt;CX$19    ),   AND($C46&lt;&gt;10000000,  CX$19&gt;=$DW46,    CX$19&lt;=($DX46+$DH$17)  ))   ,$DV46,  "")</f>
        <v/>
      </c>
      <c r="CY46" s="111" t="str">
        <f aca="false">IF(    OR(   AND($C46=10000000,    $A$17&lt;=CY$19,      ($A$17+$DH$17)&gt;CY$19    ),   AND($C46&lt;&gt;10000000,  CY$19&gt;=$DW46,    CY$19&lt;=($DX46+$DH$17)  ))   ,$DV46,  "")</f>
        <v/>
      </c>
      <c r="CZ46" s="111" t="str">
        <f aca="false">IF(    OR(   AND($C46=10000000,    $A$17&lt;=CZ$19,      ($A$17+$DH$17)&gt;CZ$19    ),   AND($C46&lt;&gt;10000000,  CZ$19&gt;=$DW46,    CZ$19&lt;=($DX46+$DH$17)  ))   ,$DV46,  "")</f>
        <v/>
      </c>
      <c r="DA46" s="111" t="str">
        <f aca="false">IF(    OR(   AND($C46=10000000,    $A$17&lt;=DA$19,      ($A$17+$DH$17)&gt;DA$19    ),   AND($C46&lt;&gt;10000000,  DA$19&gt;=$DW46,    DA$19&lt;=($DX46+$DH$17)  ))   ,$DV46,  "")</f>
        <v/>
      </c>
      <c r="DB46" s="111" t="str">
        <f aca="false">IF(    OR(   AND($C46=10000000,    $A$17&lt;=DB$19,      ($A$17+$DH$17)&gt;DB$19    ),   AND($C46&lt;&gt;10000000,  DB$19&gt;=$DW46,    DB$19&lt;=($DX46+$DH$17)  ))   ,$DV46,  "")</f>
        <v/>
      </c>
      <c r="DC46" s="111" t="str">
        <f aca="false">IF(    OR(   AND($C46=10000000,    $A$17&lt;=DC$19,      ($A$17+$DH$17)&gt;DC$19    ),   AND($C46&lt;&gt;10000000,  DC$19&gt;=$DW46,    DC$19&lt;=($DX46+$DH$17)  ))   ,$DV46,  "")</f>
        <v/>
      </c>
      <c r="DD46" s="111" t="str">
        <f aca="false">IF(    OR(   AND($C46=10000000,    $A$17&lt;=DD$19,      ($A$17+$DH$17)&gt;DD$19    ),   AND($C46&lt;&gt;10000000,  DD$19&gt;=$DW46,    DD$19&lt;=($DX46+$DH$17)  ))   ,$DV46,  "")</f>
        <v/>
      </c>
      <c r="DE46" s="111" t="str">
        <f aca="false">IF(    OR(   AND($C46=10000000,    $A$17&lt;=DE$19,      ($A$17+$DH$17)&gt;DE$19    ),   AND($C46&lt;&gt;10000000,  DE$19&gt;=$DW46,    DE$19&lt;=($DX46+$DH$17)  ))   ,$DV46,  "")</f>
        <v/>
      </c>
      <c r="DF46" s="111" t="str">
        <f aca="false">IF(    OR(   AND($C46=10000000,    $A$17&lt;=DF$19,      ($A$17+$DH$17)&gt;DF$19    ),   AND($C46&lt;&gt;10000000,  DF$19&gt;=$DW46,    DF$19&lt;=($DX46+$DH$17)  ))   ,$DV46,  "")</f>
        <v/>
      </c>
      <c r="DG46" s="111" t="str">
        <f aca="false">IF(    OR(   AND($C46=10000000,    $A$17&lt;=DG$19,      ($A$17+$DH$17)&gt;DG$19    ),   AND($C46&lt;&gt;10000000,  DG$19&gt;=$DW46,    DG$19&lt;=($DX46+$DH$17)  ))   ,$DV46,  "")</f>
        <v/>
      </c>
      <c r="DH46" s="111" t="str">
        <f aca="false">IF(    OR(   AND($C46=10000000,    $A$17&lt;=DH$19,      ($A$17+$DH$17)&gt;DH$19    ),   AND($C46&lt;&gt;10000000,  DH$19&gt;=$DW46,    DH$19&lt;=($DX46+$DH$17)  ))   ,$DV46,  "")</f>
        <v/>
      </c>
      <c r="DI46" s="112" t="str">
        <f aca="false">IF(BB46="","",IF(ISERROR(FIND(CHAR(10),BB46,1)),BB46,LEFT(BB46,FIND(CHAR(10),BB46,1))))</f>
        <v/>
      </c>
      <c r="DJ46" s="53" t="str">
        <f aca="false">IF(BB46="","",IFERROR(RIGHT(BB46,LEN(BB46)-FIND("@@@",SUBSTITUTE(BB46,CHAR(10),"@@@",LEN(BB46)-LEN(SUBSTITUTE(BB46,CHAR(10),""))),1)),BB46))</f>
        <v/>
      </c>
      <c r="DK46" s="53" t="str">
        <f aca="false">IF(BC46="","",IFERROR(RIGHT(BC46,LEN(BC46)-FIND("@@@",SUBSTITUTE(BC46,CHAR(10),"@@@",LEN(BC46)-LEN(SUBSTITUTE(BC46,CHAR(10),""))),1)),BC46))</f>
        <v/>
      </c>
      <c r="DL46" s="113" t="str">
        <f aca="false">IFERROR(DATE(("20"&amp;MID(DI46,7,2))*1,MID(DI46,4,2)*1,MID(DI46,1,2)*1),"none")</f>
        <v>none</v>
      </c>
      <c r="DM46" s="113" t="str">
        <f aca="false">IFERROR(DATE(("20"&amp;MID(DJ46,7,2))*1,MID(DJ46,4,2)*1,MID(DJ46,1,2)*1),"none")</f>
        <v>none</v>
      </c>
      <c r="DN46" s="113" t="n">
        <f aca="false">IF(DL46&lt;&gt;"none",DL46,DATE(1900,1,1))</f>
        <v>2</v>
      </c>
      <c r="DO46" s="113" t="n">
        <f aca="false">IF(DM46&lt;&gt;"none",DM46,DN46)</f>
        <v>2</v>
      </c>
      <c r="DP46" s="114" t="n">
        <f aca="false">_xlfn.DAYS($A$17,DN46)</f>
        <v>45332</v>
      </c>
      <c r="DQ46" s="114" t="n">
        <f aca="false">_xlfn.DAYS($A$17, DO46)</f>
        <v>45332</v>
      </c>
      <c r="DR46" s="51" t="n">
        <f aca="false">IF(DO46&lt;&gt;"",INT(DQ46/7),0)</f>
        <v>6476</v>
      </c>
      <c r="DS46" s="114" t="n">
        <f aca="false">IF(M46="Overdue",_xlfn.DAYS($A$17,AL46),0)</f>
        <v>0</v>
      </c>
      <c r="DT46" s="114" t="n">
        <f aca="false">IF(AH46="Project",_xlfn.DAYS(AL46,$A$17),0)</f>
        <v>0</v>
      </c>
      <c r="DU46" s="51" t="str">
        <f aca="false">IFERROR(INDEX(Static!$D$5:$E$11,MATCH(AH46,Static!$D$5:$D$11,0),2),"")</f>
        <v/>
      </c>
      <c r="DV46" s="51" t="str">
        <f aca="false">IF(C46=10000000,"Red",IF(OR(C46=11000000,C46=12000000),"Black",IF(C46=11100000,"Dark",IF(AND(C46=12100000,M46="Completed"),"Green",IF(AND(C46=12100000,M46="Overdue"),"Red",IF(C46=12100000,"Dark",IF(AND(C46=12110000,M46="Overdue"),"LightRed",IF(AND(C46=12110000,M46="Completed"),"LightGreen",IF(OR(C46=11110000,C46=12110000),"Light",IF(AND(C46=12111000,M46="Overdue"),"SoftRed",IF(AND(C46=12111000,M46="Completed"),"SoftGreen",IF(OR(C46=11111000,C46=12111000),"Grey",""))))))))))))</f>
        <v/>
      </c>
      <c r="DW46" s="49" t="n">
        <f aca="false">IF(AK46&lt;&gt;"",AK46,$BI$19)</f>
        <v>44927</v>
      </c>
      <c r="DX46" s="49" t="n">
        <f aca="false">IF(AL46&lt;&gt;"",AL46,$DH$19)</f>
        <v>45657</v>
      </c>
      <c r="DY46" s="79" t="s">
        <v>450</v>
      </c>
    </row>
    <row r="47" customFormat="false" ht="14.15" hidden="false" customHeight="true" outlineLevel="0" collapsed="false">
      <c r="A47" s="63"/>
      <c r="B47" s="53" t="n">
        <f aca="false">AH47</f>
        <v>0</v>
      </c>
      <c r="C47" s="51" t="n">
        <f aca="false">IFERROR(INDEX(Static!$D$5:$F$11,MATCH(AH47,Static!$D$5:$D$11,0),3),90000000)</f>
        <v>90000000</v>
      </c>
      <c r="D47" s="51" t="str">
        <f aca="false">MID(C47,2,1)</f>
        <v>0</v>
      </c>
      <c r="E47" s="53" t="str">
        <f aca="false">AB47</f>
        <v/>
      </c>
      <c r="F47" s="51" t="str">
        <f aca="false">IF(B47="Venture",0,IF(OR(B47="Project",B47="Stream",B47="Action"),AK47,""))</f>
        <v/>
      </c>
      <c r="G47" s="51" t="n">
        <f aca="false">AS47</f>
        <v>0</v>
      </c>
      <c r="H47" s="51" t="str">
        <f aca="false">IF(B47="Venture",0,IFERROR(INDEX($E$20:$F$55,MATCH(G47,$E$20:$E$55,0),2),""))</f>
        <v/>
      </c>
      <c r="I47" s="51" t="str">
        <f aca="false">IF(B47="Venture",0,IFERROR(INDEX($E$20:$G$55,MATCH(G47,$E$20:$E$55,0),3),""))</f>
        <v/>
      </c>
      <c r="J47" s="51" t="str">
        <f aca="false">IF(B47="Venture",0,IFERROR(INDEX($E$20:$H$55,MATCH(G47,$E$20:$E$55,0),4),""))</f>
        <v/>
      </c>
      <c r="K47" s="51" t="n">
        <f aca="false">IF(B47="Venture",0,IFERROR(INDEX($E$20:$G$55,MATCH(I47,$E$20:$E$55,0),3),""))</f>
        <v>0</v>
      </c>
      <c r="L47" s="51" t="str">
        <f aca="false">IF(M47="Completed","Completed","Ongoing")</f>
        <v>Ongoing</v>
      </c>
      <c r="M47" s="51" t="n">
        <f aca="false">IF(OR(AH47="Venture",AH47="Routine",AH47="Run Goal", AH47="Chg Goal", AH47=""),AH47,IF(AN47&lt;&gt;"","Completed",IF(AM47&lt;&gt;"","Pending",IF(AND(AL47&lt;&gt;"",$A$17&gt;AL47),"Overdue",IF($A$17&gt;AK47,"Started","Open")))))</f>
        <v>0</v>
      </c>
      <c r="N47" s="50" t="n">
        <f aca="false">((LEN($BC47)-LEN(SUBSTITUTE($BC47,CHAR(10)&amp;". ","")))/3)+IF(LEFT(TRIM($BC47),2)=". ",1,0)</f>
        <v>0</v>
      </c>
      <c r="O47" s="50" t="n">
        <f aca="false">((LEN($BC47)-LEN(SUBSTITUTE($BC47,CHAR(10)&amp;"/ ","")))/3)+IF(LEFT(TRIM($BC47),2)="/ ",1,0)</f>
        <v>0</v>
      </c>
      <c r="P47" s="50" t="n">
        <f aca="false">((LEN($BC47)-LEN(SUBSTITUTE($BC47,CHAR(10)&amp;"~ ","")))/3)+IF(LEFT(TRIM($BC47),2)="~ ",1,0)</f>
        <v>0</v>
      </c>
      <c r="Q47" s="50" t="n">
        <f aca="false">((LEN($BC47)-LEN(SUBSTITUTE($BC47,CHAR(10)&amp;"! ","")))/3)+IF(LEFT(TRIM($BC47),2)="! ",1,0)</f>
        <v>0</v>
      </c>
      <c r="R47" s="50" t="n">
        <f aca="false">((LEN($BC47)-LEN(SUBSTITUTE($BC47,CHAR(10)&amp;"x ","")))/3)+IF(LEFT(TRIM($BC47),2)="x ",1,0)</f>
        <v>0</v>
      </c>
      <c r="S47" s="50" t="n">
        <f aca="false">SUM(N47:R47)</f>
        <v>0</v>
      </c>
      <c r="T47" s="51" t="n">
        <f aca="false">IF(OR($B47="Drill",$B47="Action"),$AO47,0)</f>
        <v>0</v>
      </c>
      <c r="U47" s="51" t="n">
        <f aca="false">IF(OR($B47="Sub",$B47="Stream"),$AO47+SUMIFS($AO$20:$AO$55,$G$20:$G$55,$E47),0)</f>
        <v>0</v>
      </c>
      <c r="V47" s="51" t="n">
        <f aca="false">IF(OR($B47="Routine",$B47="Project"),$AO47+SUMIFS($U$20:$U$55,$G$20:$G$55,$E47),0)</f>
        <v>0</v>
      </c>
      <c r="W47" s="51" t="n">
        <f aca="false">IF($B47="Venture",$AO47+SUMIFS($V$20:$V$55,$G$20:$G$55,$E47),0)</f>
        <v>0</v>
      </c>
      <c r="X47" s="51" t="n">
        <f aca="false">IF(OR($B47="Drill",$B47="Action"),$AP47,0)</f>
        <v>0</v>
      </c>
      <c r="Y47" s="51" t="n">
        <f aca="false">IF(OR($B47="Sub",$B47="Stream"),$AP47+SUMIFS($AP$20:$AP$55,$G$20:$G$55,$E47),0)</f>
        <v>0</v>
      </c>
      <c r="Z47" s="51" t="n">
        <f aca="false">IF(OR($B47="Routine",$B47="Project"),$AP47+SUMIFS($Y$20:$Y$55,$G$20:$G$55,$E47),0)</f>
        <v>0</v>
      </c>
      <c r="AA47" s="51" t="n">
        <f aca="false">IF($B47="Venture",$AP47+SUMIFS($Z$20:$Z$55,$G$20:$G$55,$E47),0)</f>
        <v>0</v>
      </c>
      <c r="AB47" s="51" t="str">
        <f aca="false">IF(OR(AH47="Venture", AH47="Run Goal", AH47="Chg Goal"),AI47,AH47&amp;AI47&amp;AR47)</f>
        <v/>
      </c>
      <c r="AC47" s="53" t="str">
        <f aca="false">"  -  "&amp;IF(C47=90000000,9&amp;"Z",D47&amp;AE47&amp;IF(OR(B47="Run Goal",B47="Chg Goal", B47="Venture"),"",IF(OR(B47="Routine",B47="Project"),F47&amp;E47,  IF(OR(B47="Sub",B47="Stream"),H47&amp;G47&amp;F47&amp;E47,IF(OR(B47="Drill",B47="Action"),J47&amp;I47&amp;H47&amp;G47&amp;F47&amp;E47,     "") )    )))</f>
        <v>  -  9Z</v>
      </c>
      <c r="AD47" s="51" t="str">
        <f aca="false">IF(AND(AM47="",AN47=""),"Y","N")</f>
        <v>Y</v>
      </c>
      <c r="AE47" s="103" t="str">
        <f aca="false">IF(OR(AF47="Y",AF47="Y"),AF47,IF(DM47="none","N",IF(DM47&gt;($A$17-WEEKDAY($A$17,2)-(7*$AE$18)),"Y","N")))</f>
        <v>N</v>
      </c>
      <c r="AF47" s="104"/>
      <c r="AG47" s="105"/>
      <c r="AH47" s="79"/>
      <c r="AI47" s="56"/>
      <c r="AJ47" s="56"/>
      <c r="AK47" s="106"/>
      <c r="AL47" s="106"/>
      <c r="AM47" s="106"/>
      <c r="AN47" s="106"/>
      <c r="AO47" s="107"/>
      <c r="AP47" s="107"/>
      <c r="AQ47" s="79"/>
      <c r="AR47" s="79"/>
      <c r="AS47" s="79"/>
      <c r="AT47" s="79"/>
      <c r="AU47" s="79"/>
      <c r="AV47" s="79"/>
      <c r="AW47" s="79"/>
      <c r="AX47" s="79"/>
      <c r="AY47" s="79"/>
      <c r="AZ47" s="79"/>
      <c r="BA47" s="63"/>
      <c r="BB47" s="108"/>
      <c r="BC47" s="63"/>
      <c r="BD47" s="51" t="n">
        <f aca="false">SUM(N47:Q47)</f>
        <v>0</v>
      </c>
      <c r="BE47" s="59" t="n">
        <f aca="false">IF(AI47="",1,IF(S47&lt;&gt;0,(O47*0.5+R47)/S47,1))</f>
        <v>1</v>
      </c>
      <c r="BF47" s="81" t="str">
        <f aca="false">IF(AH47="","",IF(AH47="Venture",W47,IF(OR(AH47="Chg Goal",AH47="RUn Goal"),V47,IF(OR(AH47="ROutine",AH47="Project"),V47,IF(OR(AH47="Sub",AH47="Stream"),U47,IF(OR(AH47="Drill",AH47="Action"),T47,0))))))</f>
        <v/>
      </c>
      <c r="BG47" s="81" t="str">
        <f aca="false">IF(AH47="","",IF(AH47="Venture",AA47,IF(OR(AH47="Chg Goal",AH47="RUn Goal"),Z47,IF(OR(AH47="ROutine",AH47="Project"),Z47,IF(OR(AH47="Sub",AH47="Stream"),Y47,IF(OR(AH47="Drill",AH47="Action"),X47,0))))))</f>
        <v/>
      </c>
      <c r="BH47" s="109" t="str">
        <f aca="false">IF(AI47="","",IF(OR(BF47=0, BF47=""),0,BG47/BF47))</f>
        <v/>
      </c>
      <c r="BI47" s="110" t="str">
        <f aca="false">IF(    OR(   AND($C47=10000000,    BI$19&gt;=$A$17,      BI$19 &lt;($A$17+$DH$17)   ),   AND($C47&lt;&gt;10000000,  BI$19&gt;=$DW47,    BI$19&lt;=($DX47+$DH$17)  ))   ,$DV47,  "")</f>
        <v/>
      </c>
      <c r="BJ47" s="111" t="str">
        <f aca="false">IF(    OR(   AND($C47=10000000,    $A$17&lt;=BJ$19,      ($A$17+$DH$17)&gt;BJ$19    ),   AND($C47&lt;&gt;10000000,  BJ$19&gt;=$DW47,    BJ$19&lt;=($DX47+$DH$17)  ))   ,$DV47,  "")</f>
        <v/>
      </c>
      <c r="BK47" s="111" t="str">
        <f aca="false">IF(    OR(   AND($C47=10000000,    $A$17&lt;=BK$19,      ($A$17+$DH$17)&gt;BK$19    ),   AND($C47&lt;&gt;10000000,  BK$19&gt;=$DW47,    BK$19&lt;=($DX47+$DH$17)  ))   ,$DV47,  "")</f>
        <v/>
      </c>
      <c r="BL47" s="111" t="str">
        <f aca="false">IF(    OR(   AND($C47=10000000,    $A$17&lt;=BL$19,      ($A$17+$DH$17)&gt;BL$19    ),   AND($C47&lt;&gt;10000000,  BL$19&gt;=$DW47,    BL$19&lt;=($DX47+$DH$17)  ))   ,$DV47,  "")</f>
        <v/>
      </c>
      <c r="BM47" s="111" t="str">
        <f aca="false">IF(    OR(   AND($C47=10000000,    $A$17&lt;=BM$19,      ($A$17+$DH$17)&gt;BM$19    ),   AND($C47&lt;&gt;10000000,  BM$19&gt;=$DW47,    BM$19&lt;=($DX47+$DH$17)  ))   ,$DV47,  "")</f>
        <v/>
      </c>
      <c r="BN47" s="111" t="str">
        <f aca="false">IF(    OR(   AND($C47=10000000,    $A$17&lt;=BN$19,      ($A$17+$DH$17)&gt;BN$19    ),   AND($C47&lt;&gt;10000000,  BN$19&gt;=$DW47,    BN$19&lt;=($DX47+$DH$17)  ))   ,$DV47,  "")</f>
        <v/>
      </c>
      <c r="BO47" s="111" t="str">
        <f aca="false">IF(    OR(   AND($C47=10000000,    $A$17&lt;=BO$19,      ($A$17+$DH$17)&gt;BO$19    ),   AND($C47&lt;&gt;10000000,  BO$19&gt;=$DW47,    BO$19&lt;=($DX47+$DH$17)  ))   ,$DV47,  "")</f>
        <v/>
      </c>
      <c r="BP47" s="111" t="str">
        <f aca="false">IF(    OR(   AND($C47=10000000,    $A$17&lt;=BP$19,      ($A$17+$DH$17)&gt;BP$19    ),   AND($C47&lt;&gt;10000000,  BP$19&gt;=$DW47,    BP$19&lt;=($DX47+$DH$17)  ))   ,$DV47,  "")</f>
        <v/>
      </c>
      <c r="BQ47" s="111" t="str">
        <f aca="false">IF(    OR(   AND($C47=10000000,    $A$17&lt;=BQ$19,      ($A$17+$DH$17)&gt;BQ$19    ),   AND($C47&lt;&gt;10000000,  BQ$19&gt;=$DW47,    BQ$19&lt;=($DX47+$DH$17)  ))   ,$DV47,  "")</f>
        <v/>
      </c>
      <c r="BR47" s="111" t="str">
        <f aca="false">IF(    OR(   AND($C47=10000000,    $A$17&lt;=BR$19,      ($A$17+$DH$17)&gt;BR$19    ),   AND($C47&lt;&gt;10000000,  BR$19&gt;=$DW47,    BR$19&lt;=($DX47+$DH$17)  ))   ,$DV47,  "")</f>
        <v/>
      </c>
      <c r="BS47" s="111" t="str">
        <f aca="false">IF(    OR(   AND($C47=10000000,    $A$17&lt;=BS$19,      ($A$17+$DH$17)&gt;BS$19    ),   AND($C47&lt;&gt;10000000,  BS$19&gt;=$DW47,    BS$19&lt;=($DX47+$DH$17)  ))   ,$DV47,  "")</f>
        <v/>
      </c>
      <c r="BT47" s="111" t="str">
        <f aca="false">IF(    OR(   AND($C47=10000000,    $A$17&lt;=BT$19,      ($A$17+$DH$17)&gt;BT$19    ),   AND($C47&lt;&gt;10000000,  BT$19&gt;=$DW47,    BT$19&lt;=($DX47+$DH$17)  ))   ,$DV47,  "")</f>
        <v/>
      </c>
      <c r="BU47" s="111" t="str">
        <f aca="false">IF(    OR(   AND($C47=10000000,    $A$17&lt;=BU$19,      ($A$17+$DH$17)&gt;BU$19    ),   AND($C47&lt;&gt;10000000,  BU$19&gt;=$DW47,    BU$19&lt;=($DX47+$DH$17)  ))   ,$DV47,  "")</f>
        <v/>
      </c>
      <c r="BV47" s="111" t="str">
        <f aca="false">IF(    OR(   AND($C47=10000000,    $A$17&lt;=BV$19,      ($A$17+$DH$17)&gt;BV$19    ),   AND($C47&lt;&gt;10000000,  BV$19&gt;=$DW47,    BV$19&lt;=($DX47+$DH$17)  ))   ,$DV47,  "")</f>
        <v/>
      </c>
      <c r="BW47" s="111" t="str">
        <f aca="false">IF(    OR(   AND($C47=10000000,    $A$17&lt;=BW$19,      ($A$17+$DH$17)&gt;BW$19    ),   AND($C47&lt;&gt;10000000,  BW$19&gt;=$DW47,    BW$19&lt;=($DX47+$DH$17)  ))   ,$DV47,  "")</f>
        <v/>
      </c>
      <c r="BX47" s="111" t="str">
        <f aca="false">IF(    OR(   AND($C47=10000000,    $A$17&lt;=BX$19,      ($A$17+$DH$17)&gt;BX$19    ),   AND($C47&lt;&gt;10000000,  BX$19&gt;=$DW47,    BX$19&lt;=($DX47+$DH$17)  ))   ,$DV47,  "")</f>
        <v/>
      </c>
      <c r="BY47" s="111" t="str">
        <f aca="false">IF(    OR(   AND($C47=10000000,    $A$17&lt;=BY$19,      ($A$17+$DH$17)&gt;BY$19    ),   AND($C47&lt;&gt;10000000,  BY$19&gt;=$DW47,    BY$19&lt;=($DX47+$DH$17)  ))   ,$DV47,  "")</f>
        <v/>
      </c>
      <c r="BZ47" s="111" t="str">
        <f aca="false">IF(    OR(   AND($C47=10000000,    $A$17&lt;=BZ$19,      ($A$17+$DH$17)&gt;BZ$19    ),   AND($C47&lt;&gt;10000000,  BZ$19&gt;=$DW47,    BZ$19&lt;=($DX47+$DH$17)  ))   ,$DV47,  "")</f>
        <v/>
      </c>
      <c r="CA47" s="111" t="str">
        <f aca="false">IF(    OR(   AND($C47=10000000,    $A$17&lt;=CA$19,      ($A$17+$DH$17)&gt;CA$19    ),   AND($C47&lt;&gt;10000000,  CA$19&gt;=$DW47,    CA$19&lt;=($DX47+$DH$17)  ))   ,$DV47,  "")</f>
        <v/>
      </c>
      <c r="CB47" s="111" t="str">
        <f aca="false">IF(    OR(   AND($C47=10000000,    $A$17&lt;=CB$19,      ($A$17+$DH$17)&gt;CB$19    ),   AND($C47&lt;&gt;10000000,  CB$19&gt;=$DW47,    CB$19&lt;=($DX47+$DH$17)  ))   ,$DV47,  "")</f>
        <v/>
      </c>
      <c r="CC47" s="111" t="str">
        <f aca="false">IF(    OR(   AND($C47=10000000,    $A$17&lt;=CC$19,      ($A$17+$DH$17)&gt;CC$19    ),   AND($C47&lt;&gt;10000000,  CC$19&gt;=$DW47,    CC$19&lt;=($DX47+$DH$17)  ))   ,$DV47,  "")</f>
        <v/>
      </c>
      <c r="CD47" s="111" t="str">
        <f aca="false">IF(    OR(   AND($C47=10000000,    $A$17&lt;=CD$19,      ($A$17+$DH$17)&gt;CD$19    ),   AND($C47&lt;&gt;10000000,  CD$19&gt;=$DW47,    CD$19&lt;=($DX47+$DH$17)  ))   ,$DV47,  "")</f>
        <v/>
      </c>
      <c r="CE47" s="111" t="str">
        <f aca="false">IF(    OR(   AND($C47=10000000,    $A$17&lt;=CE$19,      ($A$17+$DH$17)&gt;CE$19    ),   AND($C47&lt;&gt;10000000,  CE$19&gt;=$DW47,    CE$19&lt;=($DX47+$DH$17)  ))   ,$DV47,  "")</f>
        <v/>
      </c>
      <c r="CF47" s="111" t="str">
        <f aca="false">IF(    OR(   AND($C47=10000000,    $A$17&lt;=CF$19,      ($A$17+$DH$17)&gt;CF$19    ),   AND($C47&lt;&gt;10000000,  CF$19&gt;=$DW47,    CF$19&lt;=($DX47+$DH$17)  ))   ,$DV47,  "")</f>
        <v/>
      </c>
      <c r="CG47" s="111" t="str">
        <f aca="false">IF(    OR(   AND($C47=10000000,    $A$17&lt;=CG$19,      ($A$17+$DH$17)&gt;CG$19    ),   AND($C47&lt;&gt;10000000,  CG$19&gt;=$DW47,    CG$19&lt;=($DX47+$DH$17)  ))   ,$DV47,  "")</f>
        <v/>
      </c>
      <c r="CH47" s="111" t="str">
        <f aca="false">IF(    OR(   AND($C47=10000000,    $A$17&lt;=CH$19,      ($A$17+$DH$17)&gt;CH$19    ),   AND($C47&lt;&gt;10000000,  CH$19&gt;=$DW47,    CH$19&lt;=($DX47+$DH$17)  ))   ,$DV47,  "")</f>
        <v/>
      </c>
      <c r="CI47" s="111" t="str">
        <f aca="false">IF(    OR(   AND($C47=10000000,    $A$17&lt;=CI$19,      ($A$17+$DH$17)&gt;CI$19    ),   AND($C47&lt;&gt;10000000,  CI$19&gt;=$DW47,    CI$19&lt;=($DX47+$DH$17)  ))   ,$DV47,  "")</f>
        <v/>
      </c>
      <c r="CJ47" s="111" t="str">
        <f aca="false">IF(    OR(   AND($C47=10000000,    $A$17&lt;=CJ$19,      ($A$17+$DH$17)&gt;CJ$19    ),   AND($C47&lt;&gt;10000000,  CJ$19&gt;=$DW47,    CJ$19&lt;=($DX47+$DH$17)  ))   ,$DV47,  "")</f>
        <v/>
      </c>
      <c r="CK47" s="111" t="str">
        <f aca="false">IF(    OR(   AND($C47=10000000,    $A$17&lt;=CK$19,      ($A$17+$DH$17)&gt;CK$19    ),   AND($C47&lt;&gt;10000000,  CK$19&gt;=$DW47,    CK$19&lt;=($DX47+$DH$17)  ))   ,$DV47,  "")</f>
        <v/>
      </c>
      <c r="CL47" s="111" t="str">
        <f aca="false">IF(    OR(   AND($C47=10000000,    $A$17&lt;=CL$19,      ($A$17+$DH$17)&gt;CL$19    ),   AND($C47&lt;&gt;10000000,  CL$19&gt;=$DW47,    CL$19&lt;=($DX47+$DH$17)  ))   ,$DV47,  "")</f>
        <v/>
      </c>
      <c r="CM47" s="111" t="str">
        <f aca="false">IF(    OR(   AND($C47=10000000,    $A$17&lt;=CM$19,      ($A$17+$DH$17)&gt;CM$19    ),   AND($C47&lt;&gt;10000000,  CM$19&gt;=$DW47,    CM$19&lt;=($DX47+$DH$17)  ))   ,$DV47,  "")</f>
        <v/>
      </c>
      <c r="CN47" s="111" t="str">
        <f aca="false">IF(    OR(   AND($C47=10000000,    $A$17&lt;=CN$19,      ($A$17+$DH$17)&gt;CN$19    ),   AND($C47&lt;&gt;10000000,  CN$19&gt;=$DW47,    CN$19&lt;=($DX47+$DH$17)  ))   ,$DV47,  "")</f>
        <v/>
      </c>
      <c r="CO47" s="111" t="str">
        <f aca="false">IF(    OR(   AND($C47=10000000,    $A$17&lt;=CO$19,      ($A$17+$DH$17)&gt;CO$19    ),   AND($C47&lt;&gt;10000000,  CO$19&gt;=$DW47,    CO$19&lt;=($DX47+$DH$17)  ))   ,$DV47,  "")</f>
        <v/>
      </c>
      <c r="CP47" s="111" t="str">
        <f aca="false">IF(    OR(   AND($C47=10000000,    $A$17&lt;=CP$19,      ($A$17+$DH$17)&gt;CP$19    ),   AND($C47&lt;&gt;10000000,  CP$19&gt;=$DW47,    CP$19&lt;=($DX47+$DH$17)  ))   ,$DV47,  "")</f>
        <v/>
      </c>
      <c r="CQ47" s="111" t="str">
        <f aca="false">IF(    OR(   AND($C47=10000000,    $A$17&lt;=CQ$19,      ($A$17+$DH$17)&gt;CQ$19    ),   AND($C47&lt;&gt;10000000,  CQ$19&gt;=$DW47,    CQ$19&lt;=($DX47+$DH$17)  ))   ,$DV47,  "")</f>
        <v/>
      </c>
      <c r="CR47" s="111" t="str">
        <f aca="false">IF(    OR(   AND($C47=10000000,    $A$17&lt;=CR$19,      ($A$17+$DH$17)&gt;CR$19    ),   AND($C47&lt;&gt;10000000,  CR$19&gt;=$DW47,    CR$19&lt;=($DX47+$DH$17)  ))   ,$DV47,  "")</f>
        <v/>
      </c>
      <c r="CS47" s="111" t="str">
        <f aca="false">IF(    OR(   AND($C47=10000000,    $A$17&lt;=CS$19,      ($A$17+$DH$17)&gt;CS$19    ),   AND($C47&lt;&gt;10000000,  CS$19&gt;=$DW47,    CS$19&lt;=($DX47+$DH$17)  ))   ,$DV47,  "")</f>
        <v/>
      </c>
      <c r="CT47" s="111" t="str">
        <f aca="false">IF(    OR(   AND($C47=10000000,    $A$17&lt;=CT$19,      ($A$17+$DH$17)&gt;CT$19    ),   AND($C47&lt;&gt;10000000,  CT$19&gt;=$DW47,    CT$19&lt;=($DX47+$DH$17)  ))   ,$DV47,  "")</f>
        <v/>
      </c>
      <c r="CU47" s="111" t="str">
        <f aca="false">IF(    OR(   AND($C47=10000000,    $A$17&lt;=CU$19,      ($A$17+$DH$17)&gt;CU$19    ),   AND($C47&lt;&gt;10000000,  CU$19&gt;=$DW47,    CU$19&lt;=($DX47+$DH$17)  ))   ,$DV47,  "")</f>
        <v/>
      </c>
      <c r="CV47" s="111" t="str">
        <f aca="false">IF(    OR(   AND($C47=10000000,    $A$17&lt;=CV$19,      ($A$17+$DH$17)&gt;CV$19    ),   AND($C47&lt;&gt;10000000,  CV$19&gt;=$DW47,    CV$19&lt;=($DX47+$DH$17)  ))   ,$DV47,  "")</f>
        <v/>
      </c>
      <c r="CW47" s="111" t="str">
        <f aca="false">IF(    OR(   AND($C47=10000000,    $A$17&lt;=CW$19,      ($A$17+$DH$17)&gt;CW$19    ),   AND($C47&lt;&gt;10000000,  CW$19&gt;=$DW47,    CW$19&lt;=($DX47+$DH$17)  ))   ,$DV47,  "")</f>
        <v/>
      </c>
      <c r="CX47" s="111" t="str">
        <f aca="false">IF(    OR(   AND($C47=10000000,    $A$17&lt;=CX$19,      ($A$17+$DH$17)&gt;CX$19    ),   AND($C47&lt;&gt;10000000,  CX$19&gt;=$DW47,    CX$19&lt;=($DX47+$DH$17)  ))   ,$DV47,  "")</f>
        <v/>
      </c>
      <c r="CY47" s="111" t="str">
        <f aca="false">IF(    OR(   AND($C47=10000000,    $A$17&lt;=CY$19,      ($A$17+$DH$17)&gt;CY$19    ),   AND($C47&lt;&gt;10000000,  CY$19&gt;=$DW47,    CY$19&lt;=($DX47+$DH$17)  ))   ,$DV47,  "")</f>
        <v/>
      </c>
      <c r="CZ47" s="111" t="str">
        <f aca="false">IF(    OR(   AND($C47=10000000,    $A$17&lt;=CZ$19,      ($A$17+$DH$17)&gt;CZ$19    ),   AND($C47&lt;&gt;10000000,  CZ$19&gt;=$DW47,    CZ$19&lt;=($DX47+$DH$17)  ))   ,$DV47,  "")</f>
        <v/>
      </c>
      <c r="DA47" s="111" t="str">
        <f aca="false">IF(    OR(   AND($C47=10000000,    $A$17&lt;=DA$19,      ($A$17+$DH$17)&gt;DA$19    ),   AND($C47&lt;&gt;10000000,  DA$19&gt;=$DW47,    DA$19&lt;=($DX47+$DH$17)  ))   ,$DV47,  "")</f>
        <v/>
      </c>
      <c r="DB47" s="111" t="str">
        <f aca="false">IF(    OR(   AND($C47=10000000,    $A$17&lt;=DB$19,      ($A$17+$DH$17)&gt;DB$19    ),   AND($C47&lt;&gt;10000000,  DB$19&gt;=$DW47,    DB$19&lt;=($DX47+$DH$17)  ))   ,$DV47,  "")</f>
        <v/>
      </c>
      <c r="DC47" s="111" t="str">
        <f aca="false">IF(    OR(   AND($C47=10000000,    $A$17&lt;=DC$19,      ($A$17+$DH$17)&gt;DC$19    ),   AND($C47&lt;&gt;10000000,  DC$19&gt;=$DW47,    DC$19&lt;=($DX47+$DH$17)  ))   ,$DV47,  "")</f>
        <v/>
      </c>
      <c r="DD47" s="111" t="str">
        <f aca="false">IF(    OR(   AND($C47=10000000,    $A$17&lt;=DD$19,      ($A$17+$DH$17)&gt;DD$19    ),   AND($C47&lt;&gt;10000000,  DD$19&gt;=$DW47,    DD$19&lt;=($DX47+$DH$17)  ))   ,$DV47,  "")</f>
        <v/>
      </c>
      <c r="DE47" s="111" t="str">
        <f aca="false">IF(    OR(   AND($C47=10000000,    $A$17&lt;=DE$19,      ($A$17+$DH$17)&gt;DE$19    ),   AND($C47&lt;&gt;10000000,  DE$19&gt;=$DW47,    DE$19&lt;=($DX47+$DH$17)  ))   ,$DV47,  "")</f>
        <v/>
      </c>
      <c r="DF47" s="111" t="str">
        <f aca="false">IF(    OR(   AND($C47=10000000,    $A$17&lt;=DF$19,      ($A$17+$DH$17)&gt;DF$19    ),   AND($C47&lt;&gt;10000000,  DF$19&gt;=$DW47,    DF$19&lt;=($DX47+$DH$17)  ))   ,$DV47,  "")</f>
        <v/>
      </c>
      <c r="DG47" s="111" t="str">
        <f aca="false">IF(    OR(   AND($C47=10000000,    $A$17&lt;=DG$19,      ($A$17+$DH$17)&gt;DG$19    ),   AND($C47&lt;&gt;10000000,  DG$19&gt;=$DW47,    DG$19&lt;=($DX47+$DH$17)  ))   ,$DV47,  "")</f>
        <v/>
      </c>
      <c r="DH47" s="111" t="str">
        <f aca="false">IF(    OR(   AND($C47=10000000,    $A$17&lt;=DH$19,      ($A$17+$DH$17)&gt;DH$19    ),   AND($C47&lt;&gt;10000000,  DH$19&gt;=$DW47,    DH$19&lt;=($DX47+$DH$17)  ))   ,$DV47,  "")</f>
        <v/>
      </c>
      <c r="DI47" s="112" t="str">
        <f aca="false">IF(BB47="","",IF(ISERROR(FIND(CHAR(10),BB47,1)),BB47,LEFT(BB47,FIND(CHAR(10),BB47,1))))</f>
        <v/>
      </c>
      <c r="DJ47" s="53" t="str">
        <f aca="false">IF(BB47="","",IFERROR(RIGHT(BB47,LEN(BB47)-FIND("@@@",SUBSTITUTE(BB47,CHAR(10),"@@@",LEN(BB47)-LEN(SUBSTITUTE(BB47,CHAR(10),""))),1)),BB47))</f>
        <v/>
      </c>
      <c r="DK47" s="53" t="str">
        <f aca="false">IF(BC47="","",IFERROR(RIGHT(BC47,LEN(BC47)-FIND("@@@",SUBSTITUTE(BC47,CHAR(10),"@@@",LEN(BC47)-LEN(SUBSTITUTE(BC47,CHAR(10),""))),1)),BC47))</f>
        <v/>
      </c>
      <c r="DL47" s="113" t="str">
        <f aca="false">IFERROR(DATE(("20"&amp;MID(DI47,7,2))*1,MID(DI47,4,2)*1,MID(DI47,1,2)*1),"none")</f>
        <v>none</v>
      </c>
      <c r="DM47" s="113" t="str">
        <f aca="false">IFERROR(DATE(("20"&amp;MID(DJ47,7,2))*1,MID(DJ47,4,2)*1,MID(DJ47,1,2)*1),"none")</f>
        <v>none</v>
      </c>
      <c r="DN47" s="113" t="n">
        <f aca="false">IF(DL47&lt;&gt;"none",DL47,DATE(1900,1,1))</f>
        <v>2</v>
      </c>
      <c r="DO47" s="113" t="n">
        <f aca="false">IF(DM47&lt;&gt;"none",DM47,DN47)</f>
        <v>2</v>
      </c>
      <c r="DP47" s="114" t="n">
        <f aca="false">_xlfn.DAYS($A$17,DN47)</f>
        <v>45332</v>
      </c>
      <c r="DQ47" s="114" t="n">
        <f aca="false">_xlfn.DAYS($A$17, DO47)</f>
        <v>45332</v>
      </c>
      <c r="DR47" s="51" t="n">
        <f aca="false">IF(DO47&lt;&gt;"",INT(DQ47/7),0)</f>
        <v>6476</v>
      </c>
      <c r="DS47" s="114" t="n">
        <f aca="false">IF(M47="Overdue",_xlfn.DAYS($A$17,AL47),0)</f>
        <v>0</v>
      </c>
      <c r="DT47" s="114" t="n">
        <f aca="false">IF(AH47="Project",_xlfn.DAYS(AL47,$A$17),0)</f>
        <v>0</v>
      </c>
      <c r="DU47" s="51" t="str">
        <f aca="false">IFERROR(INDEX(Static!$D$5:$E$11,MATCH(AH47,Static!$D$5:$D$11,0),2),"")</f>
        <v/>
      </c>
      <c r="DV47" s="51" t="str">
        <f aca="false">IF(C47=10000000,"Red",IF(OR(C47=11000000,C47=12000000),"Black",IF(C47=11100000,"Dark",IF(AND(C47=12100000,M47="Completed"),"Green",IF(AND(C47=12100000,M47="Overdue"),"Red",IF(C47=12100000,"Dark",IF(AND(C47=12110000,M47="Overdue"),"LightRed",IF(AND(C47=12110000,M47="Completed"),"LightGreen",IF(OR(C47=11110000,C47=12110000),"Light",IF(AND(C47=12111000,M47="Overdue"),"SoftRed",IF(AND(C47=12111000,M47="Completed"),"SoftGreen",IF(OR(C47=11111000,C47=12111000),"Grey",""))))))))))))</f>
        <v/>
      </c>
      <c r="DW47" s="49" t="n">
        <f aca="false">IF(AK47&lt;&gt;"",AK47,$BI$19)</f>
        <v>44927</v>
      </c>
      <c r="DX47" s="49" t="n">
        <f aca="false">IF(AL47&lt;&gt;"",AL47,$DH$19)</f>
        <v>45657</v>
      </c>
      <c r="DY47" s="79" t="s">
        <v>450</v>
      </c>
    </row>
    <row r="48" customFormat="false" ht="14.15" hidden="false" customHeight="true" outlineLevel="0" collapsed="false">
      <c r="A48" s="63"/>
      <c r="B48" s="53" t="n">
        <f aca="false">AH48</f>
        <v>0</v>
      </c>
      <c r="C48" s="51" t="n">
        <f aca="false">IFERROR(INDEX(Static!$D$5:$F$11,MATCH(AH48,Static!$D$5:$D$11,0),3),90000000)</f>
        <v>90000000</v>
      </c>
      <c r="D48" s="51" t="str">
        <f aca="false">MID(C48,2,1)</f>
        <v>0</v>
      </c>
      <c r="E48" s="53" t="str">
        <f aca="false">AB48</f>
        <v/>
      </c>
      <c r="F48" s="51" t="str">
        <f aca="false">IF(B48="Venture",0,IF(OR(B48="Project",B48="Stream",B48="Action"),AK48,""))</f>
        <v/>
      </c>
      <c r="G48" s="51" t="n">
        <f aca="false">AS48</f>
        <v>0</v>
      </c>
      <c r="H48" s="51" t="str">
        <f aca="false">IF(B48="Venture",0,IFERROR(INDEX($E$20:$F$55,MATCH(G48,$E$20:$E$55,0),2),""))</f>
        <v/>
      </c>
      <c r="I48" s="51" t="str">
        <f aca="false">IF(B48="Venture",0,IFERROR(INDEX($E$20:$G$55,MATCH(G48,$E$20:$E$55,0),3),""))</f>
        <v/>
      </c>
      <c r="J48" s="51" t="str">
        <f aca="false">IF(B48="Venture",0,IFERROR(INDEX($E$20:$H$55,MATCH(G48,$E$20:$E$55,0),4),""))</f>
        <v/>
      </c>
      <c r="K48" s="51" t="n">
        <f aca="false">IF(B48="Venture",0,IFERROR(INDEX($E$20:$G$55,MATCH(I48,$E$20:$E$55,0),3),""))</f>
        <v>0</v>
      </c>
      <c r="L48" s="51" t="str">
        <f aca="false">IF(M48="Completed","Completed","Ongoing")</f>
        <v>Ongoing</v>
      </c>
      <c r="M48" s="51" t="n">
        <f aca="false">IF(OR(AH48="Venture",AH48="Routine",AH48="Run Goal", AH48="Chg Goal", AH48=""),AH48,IF(AN48&lt;&gt;"","Completed",IF(AM48&lt;&gt;"","Pending",IF(AND(AL48&lt;&gt;"",$A$17&gt;AL48),"Overdue",IF($A$17&gt;AK48,"Started","Open")))))</f>
        <v>0</v>
      </c>
      <c r="N48" s="50" t="n">
        <f aca="false">((LEN($BC48)-LEN(SUBSTITUTE($BC48,CHAR(10)&amp;". ","")))/3)+IF(LEFT(TRIM($BC48),2)=". ",1,0)</f>
        <v>0</v>
      </c>
      <c r="O48" s="50" t="n">
        <f aca="false">((LEN($BC48)-LEN(SUBSTITUTE($BC48,CHAR(10)&amp;"/ ","")))/3)+IF(LEFT(TRIM($BC48),2)="/ ",1,0)</f>
        <v>0</v>
      </c>
      <c r="P48" s="50" t="n">
        <f aca="false">((LEN($BC48)-LEN(SUBSTITUTE($BC48,CHAR(10)&amp;"~ ","")))/3)+IF(LEFT(TRIM($BC48),2)="~ ",1,0)</f>
        <v>0</v>
      </c>
      <c r="Q48" s="50" t="n">
        <f aca="false">((LEN($BC48)-LEN(SUBSTITUTE($BC48,CHAR(10)&amp;"! ","")))/3)+IF(LEFT(TRIM($BC48),2)="! ",1,0)</f>
        <v>0</v>
      </c>
      <c r="R48" s="50" t="n">
        <f aca="false">((LEN($BC48)-LEN(SUBSTITUTE($BC48,CHAR(10)&amp;"x ","")))/3)+IF(LEFT(TRIM($BC48),2)="x ",1,0)</f>
        <v>0</v>
      </c>
      <c r="S48" s="50" t="n">
        <f aca="false">SUM(N48:R48)</f>
        <v>0</v>
      </c>
      <c r="T48" s="51" t="n">
        <f aca="false">IF(OR($B48="Drill",$B48="Action"),$AO48,0)</f>
        <v>0</v>
      </c>
      <c r="U48" s="51" t="n">
        <f aca="false">IF(OR($B48="Sub",$B48="Stream"),$AO48+SUMIFS($AO$20:$AO$55,$G$20:$G$55,$E48),0)</f>
        <v>0</v>
      </c>
      <c r="V48" s="51" t="n">
        <f aca="false">IF(OR($B48="Routine",$B48="Project"),$AO48+SUMIFS($U$20:$U$55,$G$20:$G$55,$E48),0)</f>
        <v>0</v>
      </c>
      <c r="W48" s="51" t="n">
        <f aca="false">IF($B48="Venture",$AO48+SUMIFS($V$20:$V$55,$G$20:$G$55,$E48),0)</f>
        <v>0</v>
      </c>
      <c r="X48" s="51" t="n">
        <f aca="false">IF(OR($B48="Drill",$B48="Action"),$AP48,0)</f>
        <v>0</v>
      </c>
      <c r="Y48" s="51" t="n">
        <f aca="false">IF(OR($B48="Sub",$B48="Stream"),$AP48+SUMIFS($AP$20:$AP$55,$G$20:$G$55,$E48),0)</f>
        <v>0</v>
      </c>
      <c r="Z48" s="51" t="n">
        <f aca="false">IF(OR($B48="Routine",$B48="Project"),$AP48+SUMIFS($Y$20:$Y$55,$G$20:$G$55,$E48),0)</f>
        <v>0</v>
      </c>
      <c r="AA48" s="51" t="n">
        <f aca="false">IF($B48="Venture",$AP48+SUMIFS($Z$20:$Z$55,$G$20:$G$55,$E48),0)</f>
        <v>0</v>
      </c>
      <c r="AB48" s="51" t="str">
        <f aca="false">IF(OR(AH48="Venture", AH48="Run Goal", AH48="Chg Goal"),AI48,AH48&amp;AI48&amp;AR48)</f>
        <v/>
      </c>
      <c r="AC48" s="53" t="str">
        <f aca="false">"  -  "&amp;IF(C48=90000000,9&amp;"Z",D48&amp;AE48&amp;IF(OR(B48="Run Goal",B48="Chg Goal", B48="Venture"),"",IF(OR(B48="Routine",B48="Project"),F48&amp;E48,  IF(OR(B48="Sub",B48="Stream"),H48&amp;G48&amp;F48&amp;E48,IF(OR(B48="Drill",B48="Action"),J48&amp;I48&amp;H48&amp;G48&amp;F48&amp;E48,     "") )    )))</f>
        <v>  -  9Z</v>
      </c>
      <c r="AD48" s="51" t="str">
        <f aca="false">IF(AND(AM48="",AN48=""),"Y","N")</f>
        <v>Y</v>
      </c>
      <c r="AE48" s="103" t="str">
        <f aca="false">IF(OR(AF48="Y",AF48="Y"),AF48,IF(DM48="none","N",IF(DM48&gt;($A$17-WEEKDAY($A$17,2)-(7*$AE$18)),"Y","N")))</f>
        <v>N</v>
      </c>
      <c r="AF48" s="104"/>
      <c r="AG48" s="105"/>
      <c r="AH48" s="79"/>
      <c r="AI48" s="56"/>
      <c r="AJ48" s="56"/>
      <c r="AK48" s="106"/>
      <c r="AL48" s="106"/>
      <c r="AM48" s="106"/>
      <c r="AN48" s="106"/>
      <c r="AO48" s="107"/>
      <c r="AP48" s="107"/>
      <c r="AQ48" s="79"/>
      <c r="AR48" s="79"/>
      <c r="AS48" s="79"/>
      <c r="AT48" s="79"/>
      <c r="AU48" s="79"/>
      <c r="AV48" s="79"/>
      <c r="AW48" s="79"/>
      <c r="AX48" s="79"/>
      <c r="AY48" s="79"/>
      <c r="AZ48" s="79"/>
      <c r="BA48" s="63"/>
      <c r="BB48" s="108"/>
      <c r="BC48" s="63"/>
      <c r="BD48" s="51" t="n">
        <f aca="false">SUM(N48:Q48)</f>
        <v>0</v>
      </c>
      <c r="BE48" s="59" t="n">
        <f aca="false">IF(AI48="",1,IF(S48&lt;&gt;0,(O48*0.5+R48)/S48,1))</f>
        <v>1</v>
      </c>
      <c r="BF48" s="81" t="str">
        <f aca="false">IF(AH48="","",IF(AH48="Venture",W48,IF(OR(AH48="Chg Goal",AH48="RUn Goal"),V48,IF(OR(AH48="ROutine",AH48="Project"),V48,IF(OR(AH48="Sub",AH48="Stream"),U48,IF(OR(AH48="Drill",AH48="Action"),T48,0))))))</f>
        <v/>
      </c>
      <c r="BG48" s="81" t="str">
        <f aca="false">IF(AH48="","",IF(AH48="Venture",AA48,IF(OR(AH48="Chg Goal",AH48="RUn Goal"),Z48,IF(OR(AH48="ROutine",AH48="Project"),Z48,IF(OR(AH48="Sub",AH48="Stream"),Y48,IF(OR(AH48="Drill",AH48="Action"),X48,0))))))</f>
        <v/>
      </c>
      <c r="BH48" s="109" t="str">
        <f aca="false">IF(AI48="","",IF(OR(BF48=0, BF48=""),0,BG48/BF48))</f>
        <v/>
      </c>
      <c r="BI48" s="110" t="str">
        <f aca="false">IF(    OR(   AND($C48=10000000,    BI$19&gt;=$A$17,      BI$19 &lt;($A$17+$DH$17)   ),   AND($C48&lt;&gt;10000000,  BI$19&gt;=$DW48,    BI$19&lt;=($DX48+$DH$17)  ))   ,$DV48,  "")</f>
        <v/>
      </c>
      <c r="BJ48" s="111" t="str">
        <f aca="false">IF(    OR(   AND($C48=10000000,    $A$17&lt;=BJ$19,      ($A$17+$DH$17)&gt;BJ$19    ),   AND($C48&lt;&gt;10000000,  BJ$19&gt;=$DW48,    BJ$19&lt;=($DX48+$DH$17)  ))   ,$DV48,  "")</f>
        <v/>
      </c>
      <c r="BK48" s="111" t="str">
        <f aca="false">IF(    OR(   AND($C48=10000000,    $A$17&lt;=BK$19,      ($A$17+$DH$17)&gt;BK$19    ),   AND($C48&lt;&gt;10000000,  BK$19&gt;=$DW48,    BK$19&lt;=($DX48+$DH$17)  ))   ,$DV48,  "")</f>
        <v/>
      </c>
      <c r="BL48" s="111" t="str">
        <f aca="false">IF(    OR(   AND($C48=10000000,    $A$17&lt;=BL$19,      ($A$17+$DH$17)&gt;BL$19    ),   AND($C48&lt;&gt;10000000,  BL$19&gt;=$DW48,    BL$19&lt;=($DX48+$DH$17)  ))   ,$DV48,  "")</f>
        <v/>
      </c>
      <c r="BM48" s="111" t="str">
        <f aca="false">IF(    OR(   AND($C48=10000000,    $A$17&lt;=BM$19,      ($A$17+$DH$17)&gt;BM$19    ),   AND($C48&lt;&gt;10000000,  BM$19&gt;=$DW48,    BM$19&lt;=($DX48+$DH$17)  ))   ,$DV48,  "")</f>
        <v/>
      </c>
      <c r="BN48" s="111" t="str">
        <f aca="false">IF(    OR(   AND($C48=10000000,    $A$17&lt;=BN$19,      ($A$17+$DH$17)&gt;BN$19    ),   AND($C48&lt;&gt;10000000,  BN$19&gt;=$DW48,    BN$19&lt;=($DX48+$DH$17)  ))   ,$DV48,  "")</f>
        <v/>
      </c>
      <c r="BO48" s="111" t="str">
        <f aca="false">IF(    OR(   AND($C48=10000000,    $A$17&lt;=BO$19,      ($A$17+$DH$17)&gt;BO$19    ),   AND($C48&lt;&gt;10000000,  BO$19&gt;=$DW48,    BO$19&lt;=($DX48+$DH$17)  ))   ,$DV48,  "")</f>
        <v/>
      </c>
      <c r="BP48" s="111" t="str">
        <f aca="false">IF(    OR(   AND($C48=10000000,    $A$17&lt;=BP$19,      ($A$17+$DH$17)&gt;BP$19    ),   AND($C48&lt;&gt;10000000,  BP$19&gt;=$DW48,    BP$19&lt;=($DX48+$DH$17)  ))   ,$DV48,  "")</f>
        <v/>
      </c>
      <c r="BQ48" s="111" t="str">
        <f aca="false">IF(    OR(   AND($C48=10000000,    $A$17&lt;=BQ$19,      ($A$17+$DH$17)&gt;BQ$19    ),   AND($C48&lt;&gt;10000000,  BQ$19&gt;=$DW48,    BQ$19&lt;=($DX48+$DH$17)  ))   ,$DV48,  "")</f>
        <v/>
      </c>
      <c r="BR48" s="111" t="str">
        <f aca="false">IF(    OR(   AND($C48=10000000,    $A$17&lt;=BR$19,      ($A$17+$DH$17)&gt;BR$19    ),   AND($C48&lt;&gt;10000000,  BR$19&gt;=$DW48,    BR$19&lt;=($DX48+$DH$17)  ))   ,$DV48,  "")</f>
        <v/>
      </c>
      <c r="BS48" s="111" t="str">
        <f aca="false">IF(    OR(   AND($C48=10000000,    $A$17&lt;=BS$19,      ($A$17+$DH$17)&gt;BS$19    ),   AND($C48&lt;&gt;10000000,  BS$19&gt;=$DW48,    BS$19&lt;=($DX48+$DH$17)  ))   ,$DV48,  "")</f>
        <v/>
      </c>
      <c r="BT48" s="111" t="str">
        <f aca="false">IF(    OR(   AND($C48=10000000,    $A$17&lt;=BT$19,      ($A$17+$DH$17)&gt;BT$19    ),   AND($C48&lt;&gt;10000000,  BT$19&gt;=$DW48,    BT$19&lt;=($DX48+$DH$17)  ))   ,$DV48,  "")</f>
        <v/>
      </c>
      <c r="BU48" s="111" t="str">
        <f aca="false">IF(    OR(   AND($C48=10000000,    $A$17&lt;=BU$19,      ($A$17+$DH$17)&gt;BU$19    ),   AND($C48&lt;&gt;10000000,  BU$19&gt;=$DW48,    BU$19&lt;=($DX48+$DH$17)  ))   ,$DV48,  "")</f>
        <v/>
      </c>
      <c r="BV48" s="111" t="str">
        <f aca="false">IF(    OR(   AND($C48=10000000,    $A$17&lt;=BV$19,      ($A$17+$DH$17)&gt;BV$19    ),   AND($C48&lt;&gt;10000000,  BV$19&gt;=$DW48,    BV$19&lt;=($DX48+$DH$17)  ))   ,$DV48,  "")</f>
        <v/>
      </c>
      <c r="BW48" s="111" t="str">
        <f aca="false">IF(    OR(   AND($C48=10000000,    $A$17&lt;=BW$19,      ($A$17+$DH$17)&gt;BW$19    ),   AND($C48&lt;&gt;10000000,  BW$19&gt;=$DW48,    BW$19&lt;=($DX48+$DH$17)  ))   ,$DV48,  "")</f>
        <v/>
      </c>
      <c r="BX48" s="111" t="str">
        <f aca="false">IF(    OR(   AND($C48=10000000,    $A$17&lt;=BX$19,      ($A$17+$DH$17)&gt;BX$19    ),   AND($C48&lt;&gt;10000000,  BX$19&gt;=$DW48,    BX$19&lt;=($DX48+$DH$17)  ))   ,$DV48,  "")</f>
        <v/>
      </c>
      <c r="BY48" s="111" t="str">
        <f aca="false">IF(    OR(   AND($C48=10000000,    $A$17&lt;=BY$19,      ($A$17+$DH$17)&gt;BY$19    ),   AND($C48&lt;&gt;10000000,  BY$19&gt;=$DW48,    BY$19&lt;=($DX48+$DH$17)  ))   ,$DV48,  "")</f>
        <v/>
      </c>
      <c r="BZ48" s="111" t="str">
        <f aca="false">IF(    OR(   AND($C48=10000000,    $A$17&lt;=BZ$19,      ($A$17+$DH$17)&gt;BZ$19    ),   AND($C48&lt;&gt;10000000,  BZ$19&gt;=$DW48,    BZ$19&lt;=($DX48+$DH$17)  ))   ,$DV48,  "")</f>
        <v/>
      </c>
      <c r="CA48" s="111" t="str">
        <f aca="false">IF(    OR(   AND($C48=10000000,    $A$17&lt;=CA$19,      ($A$17+$DH$17)&gt;CA$19    ),   AND($C48&lt;&gt;10000000,  CA$19&gt;=$DW48,    CA$19&lt;=($DX48+$DH$17)  ))   ,$DV48,  "")</f>
        <v/>
      </c>
      <c r="CB48" s="111" t="str">
        <f aca="false">IF(    OR(   AND($C48=10000000,    $A$17&lt;=CB$19,      ($A$17+$DH$17)&gt;CB$19    ),   AND($C48&lt;&gt;10000000,  CB$19&gt;=$DW48,    CB$19&lt;=($DX48+$DH$17)  ))   ,$DV48,  "")</f>
        <v/>
      </c>
      <c r="CC48" s="111" t="str">
        <f aca="false">IF(    OR(   AND($C48=10000000,    $A$17&lt;=CC$19,      ($A$17+$DH$17)&gt;CC$19    ),   AND($C48&lt;&gt;10000000,  CC$19&gt;=$DW48,    CC$19&lt;=($DX48+$DH$17)  ))   ,$DV48,  "")</f>
        <v/>
      </c>
      <c r="CD48" s="111" t="str">
        <f aca="false">IF(    OR(   AND($C48=10000000,    $A$17&lt;=CD$19,      ($A$17+$DH$17)&gt;CD$19    ),   AND($C48&lt;&gt;10000000,  CD$19&gt;=$DW48,    CD$19&lt;=($DX48+$DH$17)  ))   ,$DV48,  "")</f>
        <v/>
      </c>
      <c r="CE48" s="111" t="str">
        <f aca="false">IF(    OR(   AND($C48=10000000,    $A$17&lt;=CE$19,      ($A$17+$DH$17)&gt;CE$19    ),   AND($C48&lt;&gt;10000000,  CE$19&gt;=$DW48,    CE$19&lt;=($DX48+$DH$17)  ))   ,$DV48,  "")</f>
        <v/>
      </c>
      <c r="CF48" s="111" t="str">
        <f aca="false">IF(    OR(   AND($C48=10000000,    $A$17&lt;=CF$19,      ($A$17+$DH$17)&gt;CF$19    ),   AND($C48&lt;&gt;10000000,  CF$19&gt;=$DW48,    CF$19&lt;=($DX48+$DH$17)  ))   ,$DV48,  "")</f>
        <v/>
      </c>
      <c r="CG48" s="111" t="str">
        <f aca="false">IF(    OR(   AND($C48=10000000,    $A$17&lt;=CG$19,      ($A$17+$DH$17)&gt;CG$19    ),   AND($C48&lt;&gt;10000000,  CG$19&gt;=$DW48,    CG$19&lt;=($DX48+$DH$17)  ))   ,$DV48,  "")</f>
        <v/>
      </c>
      <c r="CH48" s="111" t="str">
        <f aca="false">IF(    OR(   AND($C48=10000000,    $A$17&lt;=CH$19,      ($A$17+$DH$17)&gt;CH$19    ),   AND($C48&lt;&gt;10000000,  CH$19&gt;=$DW48,    CH$19&lt;=($DX48+$DH$17)  ))   ,$DV48,  "")</f>
        <v/>
      </c>
      <c r="CI48" s="111" t="str">
        <f aca="false">IF(    OR(   AND($C48=10000000,    $A$17&lt;=CI$19,      ($A$17+$DH$17)&gt;CI$19    ),   AND($C48&lt;&gt;10000000,  CI$19&gt;=$DW48,    CI$19&lt;=($DX48+$DH$17)  ))   ,$DV48,  "")</f>
        <v/>
      </c>
      <c r="CJ48" s="111" t="str">
        <f aca="false">IF(    OR(   AND($C48=10000000,    $A$17&lt;=CJ$19,      ($A$17+$DH$17)&gt;CJ$19    ),   AND($C48&lt;&gt;10000000,  CJ$19&gt;=$DW48,    CJ$19&lt;=($DX48+$DH$17)  ))   ,$DV48,  "")</f>
        <v/>
      </c>
      <c r="CK48" s="111" t="str">
        <f aca="false">IF(    OR(   AND($C48=10000000,    $A$17&lt;=CK$19,      ($A$17+$DH$17)&gt;CK$19    ),   AND($C48&lt;&gt;10000000,  CK$19&gt;=$DW48,    CK$19&lt;=($DX48+$DH$17)  ))   ,$DV48,  "")</f>
        <v/>
      </c>
      <c r="CL48" s="111" t="str">
        <f aca="false">IF(    OR(   AND($C48=10000000,    $A$17&lt;=CL$19,      ($A$17+$DH$17)&gt;CL$19    ),   AND($C48&lt;&gt;10000000,  CL$19&gt;=$DW48,    CL$19&lt;=($DX48+$DH$17)  ))   ,$DV48,  "")</f>
        <v/>
      </c>
      <c r="CM48" s="111" t="str">
        <f aca="false">IF(    OR(   AND($C48=10000000,    $A$17&lt;=CM$19,      ($A$17+$DH$17)&gt;CM$19    ),   AND($C48&lt;&gt;10000000,  CM$19&gt;=$DW48,    CM$19&lt;=($DX48+$DH$17)  ))   ,$DV48,  "")</f>
        <v/>
      </c>
      <c r="CN48" s="111" t="str">
        <f aca="false">IF(    OR(   AND($C48=10000000,    $A$17&lt;=CN$19,      ($A$17+$DH$17)&gt;CN$19    ),   AND($C48&lt;&gt;10000000,  CN$19&gt;=$DW48,    CN$19&lt;=($DX48+$DH$17)  ))   ,$DV48,  "")</f>
        <v/>
      </c>
      <c r="CO48" s="111" t="str">
        <f aca="false">IF(    OR(   AND($C48=10000000,    $A$17&lt;=CO$19,      ($A$17+$DH$17)&gt;CO$19    ),   AND($C48&lt;&gt;10000000,  CO$19&gt;=$DW48,    CO$19&lt;=($DX48+$DH$17)  ))   ,$DV48,  "")</f>
        <v/>
      </c>
      <c r="CP48" s="111" t="str">
        <f aca="false">IF(    OR(   AND($C48=10000000,    $A$17&lt;=CP$19,      ($A$17+$DH$17)&gt;CP$19    ),   AND($C48&lt;&gt;10000000,  CP$19&gt;=$DW48,    CP$19&lt;=($DX48+$DH$17)  ))   ,$DV48,  "")</f>
        <v/>
      </c>
      <c r="CQ48" s="111" t="str">
        <f aca="false">IF(    OR(   AND($C48=10000000,    $A$17&lt;=CQ$19,      ($A$17+$DH$17)&gt;CQ$19    ),   AND($C48&lt;&gt;10000000,  CQ$19&gt;=$DW48,    CQ$19&lt;=($DX48+$DH$17)  ))   ,$DV48,  "")</f>
        <v/>
      </c>
      <c r="CR48" s="111" t="str">
        <f aca="false">IF(    OR(   AND($C48=10000000,    $A$17&lt;=CR$19,      ($A$17+$DH$17)&gt;CR$19    ),   AND($C48&lt;&gt;10000000,  CR$19&gt;=$DW48,    CR$19&lt;=($DX48+$DH$17)  ))   ,$DV48,  "")</f>
        <v/>
      </c>
      <c r="CS48" s="111" t="str">
        <f aca="false">IF(    OR(   AND($C48=10000000,    $A$17&lt;=CS$19,      ($A$17+$DH$17)&gt;CS$19    ),   AND($C48&lt;&gt;10000000,  CS$19&gt;=$DW48,    CS$19&lt;=($DX48+$DH$17)  ))   ,$DV48,  "")</f>
        <v/>
      </c>
      <c r="CT48" s="111" t="str">
        <f aca="false">IF(    OR(   AND($C48=10000000,    $A$17&lt;=CT$19,      ($A$17+$DH$17)&gt;CT$19    ),   AND($C48&lt;&gt;10000000,  CT$19&gt;=$DW48,    CT$19&lt;=($DX48+$DH$17)  ))   ,$DV48,  "")</f>
        <v/>
      </c>
      <c r="CU48" s="111" t="str">
        <f aca="false">IF(    OR(   AND($C48=10000000,    $A$17&lt;=CU$19,      ($A$17+$DH$17)&gt;CU$19    ),   AND($C48&lt;&gt;10000000,  CU$19&gt;=$DW48,    CU$19&lt;=($DX48+$DH$17)  ))   ,$DV48,  "")</f>
        <v/>
      </c>
      <c r="CV48" s="111" t="str">
        <f aca="false">IF(    OR(   AND($C48=10000000,    $A$17&lt;=CV$19,      ($A$17+$DH$17)&gt;CV$19    ),   AND($C48&lt;&gt;10000000,  CV$19&gt;=$DW48,    CV$19&lt;=($DX48+$DH$17)  ))   ,$DV48,  "")</f>
        <v/>
      </c>
      <c r="CW48" s="111" t="str">
        <f aca="false">IF(    OR(   AND($C48=10000000,    $A$17&lt;=CW$19,      ($A$17+$DH$17)&gt;CW$19    ),   AND($C48&lt;&gt;10000000,  CW$19&gt;=$DW48,    CW$19&lt;=($DX48+$DH$17)  ))   ,$DV48,  "")</f>
        <v/>
      </c>
      <c r="CX48" s="111" t="str">
        <f aca="false">IF(    OR(   AND($C48=10000000,    $A$17&lt;=CX$19,      ($A$17+$DH$17)&gt;CX$19    ),   AND($C48&lt;&gt;10000000,  CX$19&gt;=$DW48,    CX$19&lt;=($DX48+$DH$17)  ))   ,$DV48,  "")</f>
        <v/>
      </c>
      <c r="CY48" s="111" t="str">
        <f aca="false">IF(    OR(   AND($C48=10000000,    $A$17&lt;=CY$19,      ($A$17+$DH$17)&gt;CY$19    ),   AND($C48&lt;&gt;10000000,  CY$19&gt;=$DW48,    CY$19&lt;=($DX48+$DH$17)  ))   ,$DV48,  "")</f>
        <v/>
      </c>
      <c r="CZ48" s="111" t="str">
        <f aca="false">IF(    OR(   AND($C48=10000000,    $A$17&lt;=CZ$19,      ($A$17+$DH$17)&gt;CZ$19    ),   AND($C48&lt;&gt;10000000,  CZ$19&gt;=$DW48,    CZ$19&lt;=($DX48+$DH$17)  ))   ,$DV48,  "")</f>
        <v/>
      </c>
      <c r="DA48" s="111" t="str">
        <f aca="false">IF(    OR(   AND($C48=10000000,    $A$17&lt;=DA$19,      ($A$17+$DH$17)&gt;DA$19    ),   AND($C48&lt;&gt;10000000,  DA$19&gt;=$DW48,    DA$19&lt;=($DX48+$DH$17)  ))   ,$DV48,  "")</f>
        <v/>
      </c>
      <c r="DB48" s="111" t="str">
        <f aca="false">IF(    OR(   AND($C48=10000000,    $A$17&lt;=DB$19,      ($A$17+$DH$17)&gt;DB$19    ),   AND($C48&lt;&gt;10000000,  DB$19&gt;=$DW48,    DB$19&lt;=($DX48+$DH$17)  ))   ,$DV48,  "")</f>
        <v/>
      </c>
      <c r="DC48" s="111" t="str">
        <f aca="false">IF(    OR(   AND($C48=10000000,    $A$17&lt;=DC$19,      ($A$17+$DH$17)&gt;DC$19    ),   AND($C48&lt;&gt;10000000,  DC$19&gt;=$DW48,    DC$19&lt;=($DX48+$DH$17)  ))   ,$DV48,  "")</f>
        <v/>
      </c>
      <c r="DD48" s="111" t="str">
        <f aca="false">IF(    OR(   AND($C48=10000000,    $A$17&lt;=DD$19,      ($A$17+$DH$17)&gt;DD$19    ),   AND($C48&lt;&gt;10000000,  DD$19&gt;=$DW48,    DD$19&lt;=($DX48+$DH$17)  ))   ,$DV48,  "")</f>
        <v/>
      </c>
      <c r="DE48" s="111" t="str">
        <f aca="false">IF(    OR(   AND($C48=10000000,    $A$17&lt;=DE$19,      ($A$17+$DH$17)&gt;DE$19    ),   AND($C48&lt;&gt;10000000,  DE$19&gt;=$DW48,    DE$19&lt;=($DX48+$DH$17)  ))   ,$DV48,  "")</f>
        <v/>
      </c>
      <c r="DF48" s="111" t="str">
        <f aca="false">IF(    OR(   AND($C48=10000000,    $A$17&lt;=DF$19,      ($A$17+$DH$17)&gt;DF$19    ),   AND($C48&lt;&gt;10000000,  DF$19&gt;=$DW48,    DF$19&lt;=($DX48+$DH$17)  ))   ,$DV48,  "")</f>
        <v/>
      </c>
      <c r="DG48" s="111" t="str">
        <f aca="false">IF(    OR(   AND($C48=10000000,    $A$17&lt;=DG$19,      ($A$17+$DH$17)&gt;DG$19    ),   AND($C48&lt;&gt;10000000,  DG$19&gt;=$DW48,    DG$19&lt;=($DX48+$DH$17)  ))   ,$DV48,  "")</f>
        <v/>
      </c>
      <c r="DH48" s="111" t="str">
        <f aca="false">IF(    OR(   AND($C48=10000000,    $A$17&lt;=DH$19,      ($A$17+$DH$17)&gt;DH$19    ),   AND($C48&lt;&gt;10000000,  DH$19&gt;=$DW48,    DH$19&lt;=($DX48+$DH$17)  ))   ,$DV48,  "")</f>
        <v/>
      </c>
      <c r="DI48" s="112" t="str">
        <f aca="false">IF(BB48="","",IF(ISERROR(FIND(CHAR(10),BB48,1)),BB48,LEFT(BB48,FIND(CHAR(10),BB48,1))))</f>
        <v/>
      </c>
      <c r="DJ48" s="53" t="str">
        <f aca="false">IF(BB48="","",IFERROR(RIGHT(BB48,LEN(BB48)-FIND("@@@",SUBSTITUTE(BB48,CHAR(10),"@@@",LEN(BB48)-LEN(SUBSTITUTE(BB48,CHAR(10),""))),1)),BB48))</f>
        <v/>
      </c>
      <c r="DK48" s="53" t="str">
        <f aca="false">IF(BC48="","",IFERROR(RIGHT(BC48,LEN(BC48)-FIND("@@@",SUBSTITUTE(BC48,CHAR(10),"@@@",LEN(BC48)-LEN(SUBSTITUTE(BC48,CHAR(10),""))),1)),BC48))</f>
        <v/>
      </c>
      <c r="DL48" s="113" t="str">
        <f aca="false">IFERROR(DATE(("20"&amp;MID(DI48,7,2))*1,MID(DI48,4,2)*1,MID(DI48,1,2)*1),"none")</f>
        <v>none</v>
      </c>
      <c r="DM48" s="113" t="str">
        <f aca="false">IFERROR(DATE(("20"&amp;MID(DJ48,7,2))*1,MID(DJ48,4,2)*1,MID(DJ48,1,2)*1),"none")</f>
        <v>none</v>
      </c>
      <c r="DN48" s="113" t="n">
        <f aca="false">IF(DL48&lt;&gt;"none",DL48,DATE(1900,1,1))</f>
        <v>2</v>
      </c>
      <c r="DO48" s="113" t="n">
        <f aca="false">IF(DM48&lt;&gt;"none",DM48,DN48)</f>
        <v>2</v>
      </c>
      <c r="DP48" s="114" t="n">
        <f aca="false">_xlfn.DAYS($A$17,DN48)</f>
        <v>45332</v>
      </c>
      <c r="DQ48" s="114" t="n">
        <f aca="false">_xlfn.DAYS($A$17, DO48)</f>
        <v>45332</v>
      </c>
      <c r="DR48" s="51" t="n">
        <f aca="false">IF(DO48&lt;&gt;"",INT(DQ48/7),0)</f>
        <v>6476</v>
      </c>
      <c r="DS48" s="114" t="n">
        <f aca="false">IF(M48="Overdue",_xlfn.DAYS($A$17,AL48),0)</f>
        <v>0</v>
      </c>
      <c r="DT48" s="114" t="n">
        <f aca="false">IF(AH48="Project",_xlfn.DAYS(AL48,$A$17),0)</f>
        <v>0</v>
      </c>
      <c r="DU48" s="51" t="str">
        <f aca="false">IFERROR(INDEX(Static!$D$5:$E$11,MATCH(AH48,Static!$D$5:$D$11,0),2),"")</f>
        <v/>
      </c>
      <c r="DV48" s="51" t="str">
        <f aca="false">IF(C48=10000000,"Red",IF(OR(C48=11000000,C48=12000000),"Black",IF(C48=11100000,"Dark",IF(AND(C48=12100000,M48="Completed"),"Green",IF(AND(C48=12100000,M48="Overdue"),"Red",IF(C48=12100000,"Dark",IF(AND(C48=12110000,M48="Overdue"),"LightRed",IF(AND(C48=12110000,M48="Completed"),"LightGreen",IF(OR(C48=11110000,C48=12110000),"Light",IF(AND(C48=12111000,M48="Overdue"),"SoftRed",IF(AND(C48=12111000,M48="Completed"),"SoftGreen",IF(OR(C48=11111000,C48=12111000),"Grey",""))))))))))))</f>
        <v/>
      </c>
      <c r="DW48" s="49" t="n">
        <f aca="false">IF(AK48&lt;&gt;"",AK48,$BI$19)</f>
        <v>44927</v>
      </c>
      <c r="DX48" s="49" t="n">
        <f aca="false">IF(AL48&lt;&gt;"",AL48,$DH$19)</f>
        <v>45657</v>
      </c>
      <c r="DY48" s="79" t="s">
        <v>450</v>
      </c>
    </row>
    <row r="49" customFormat="false" ht="14.15" hidden="false" customHeight="true" outlineLevel="0" collapsed="false">
      <c r="A49" s="63"/>
      <c r="B49" s="53" t="n">
        <f aca="false">AH49</f>
        <v>0</v>
      </c>
      <c r="C49" s="51" t="n">
        <f aca="false">IFERROR(INDEX(Static!$D$5:$F$11,MATCH(AH49,Static!$D$5:$D$11,0),3),90000000)</f>
        <v>90000000</v>
      </c>
      <c r="D49" s="51" t="str">
        <f aca="false">MID(C49,2,1)</f>
        <v>0</v>
      </c>
      <c r="E49" s="53" t="str">
        <f aca="false">AB49</f>
        <v/>
      </c>
      <c r="F49" s="51" t="str">
        <f aca="false">IF(B49="Venture",0,IF(OR(B49="Project",B49="Stream",B49="Action"),AK49,""))</f>
        <v/>
      </c>
      <c r="G49" s="51" t="n">
        <f aca="false">AS49</f>
        <v>0</v>
      </c>
      <c r="H49" s="51" t="str">
        <f aca="false">IF(B49="Venture",0,IFERROR(INDEX($E$20:$F$55,MATCH(G49,$E$20:$E$55,0),2),""))</f>
        <v/>
      </c>
      <c r="I49" s="51" t="str">
        <f aca="false">IF(B49="Venture",0,IFERROR(INDEX($E$20:$G$55,MATCH(G49,$E$20:$E$55,0),3),""))</f>
        <v/>
      </c>
      <c r="J49" s="51" t="str">
        <f aca="false">IF(B49="Venture",0,IFERROR(INDEX($E$20:$H$55,MATCH(G49,$E$20:$E$55,0),4),""))</f>
        <v/>
      </c>
      <c r="K49" s="51" t="n">
        <f aca="false">IF(B49="Venture",0,IFERROR(INDEX($E$20:$G$55,MATCH(I49,$E$20:$E$55,0),3),""))</f>
        <v>0</v>
      </c>
      <c r="L49" s="51" t="str">
        <f aca="false">IF(M49="Completed","Completed","Ongoing")</f>
        <v>Ongoing</v>
      </c>
      <c r="M49" s="51" t="n">
        <f aca="false">IF(OR(AH49="Venture",AH49="Routine",AH49="Run Goal", AH49="Chg Goal", AH49=""),AH49,IF(AN49&lt;&gt;"","Completed",IF(AM49&lt;&gt;"","Pending",IF(AND(AL49&lt;&gt;"",$A$17&gt;AL49),"Overdue",IF($A$17&gt;AK49,"Started","Open")))))</f>
        <v>0</v>
      </c>
      <c r="N49" s="50" t="n">
        <f aca="false">((LEN($BC49)-LEN(SUBSTITUTE($BC49,CHAR(10)&amp;". ","")))/3)+IF(LEFT(TRIM($BC49),2)=". ",1,0)</f>
        <v>0</v>
      </c>
      <c r="O49" s="50" t="n">
        <f aca="false">((LEN($BC49)-LEN(SUBSTITUTE($BC49,CHAR(10)&amp;"/ ","")))/3)+IF(LEFT(TRIM($BC49),2)="/ ",1,0)</f>
        <v>0</v>
      </c>
      <c r="P49" s="50" t="n">
        <f aca="false">((LEN($BC49)-LEN(SUBSTITUTE($BC49,CHAR(10)&amp;"~ ","")))/3)+IF(LEFT(TRIM($BC49),2)="~ ",1,0)</f>
        <v>0</v>
      </c>
      <c r="Q49" s="50" t="n">
        <f aca="false">((LEN($BC49)-LEN(SUBSTITUTE($BC49,CHAR(10)&amp;"! ","")))/3)+IF(LEFT(TRIM($BC49),2)="! ",1,0)</f>
        <v>0</v>
      </c>
      <c r="R49" s="50" t="n">
        <f aca="false">((LEN($BC49)-LEN(SUBSTITUTE($BC49,CHAR(10)&amp;"x ","")))/3)+IF(LEFT(TRIM($BC49),2)="x ",1,0)</f>
        <v>0</v>
      </c>
      <c r="S49" s="50" t="n">
        <f aca="false">SUM(N49:R49)</f>
        <v>0</v>
      </c>
      <c r="T49" s="51" t="n">
        <f aca="false">IF(OR($B49="Drill",$B49="Action"),$AO49,0)</f>
        <v>0</v>
      </c>
      <c r="U49" s="51" t="n">
        <f aca="false">IF(OR($B49="Sub",$B49="Stream"),$AO49+SUMIFS($AO$20:$AO$55,$G$20:$G$55,$E49),0)</f>
        <v>0</v>
      </c>
      <c r="V49" s="51" t="n">
        <f aca="false">IF(OR($B49="Routine",$B49="Project"),$AO49+SUMIFS($U$20:$U$55,$G$20:$G$55,$E49),0)</f>
        <v>0</v>
      </c>
      <c r="W49" s="51" t="n">
        <f aca="false">IF($B49="Venture",$AO49+SUMIFS($V$20:$V$55,$G$20:$G$55,$E49),0)</f>
        <v>0</v>
      </c>
      <c r="X49" s="51" t="n">
        <f aca="false">IF(OR($B49="Drill",$B49="Action"),$AP49,0)</f>
        <v>0</v>
      </c>
      <c r="Y49" s="51" t="n">
        <f aca="false">IF(OR($B49="Sub",$B49="Stream"),$AP49+SUMIFS($AP$20:$AP$55,$G$20:$G$55,$E49),0)</f>
        <v>0</v>
      </c>
      <c r="Z49" s="51" t="n">
        <f aca="false">IF(OR($B49="Routine",$B49="Project"),$AP49+SUMIFS($Y$20:$Y$55,$G$20:$G$55,$E49),0)</f>
        <v>0</v>
      </c>
      <c r="AA49" s="51" t="n">
        <f aca="false">IF($B49="Venture",$AP49+SUMIFS($Z$20:$Z$55,$G$20:$G$55,$E49),0)</f>
        <v>0</v>
      </c>
      <c r="AB49" s="51" t="str">
        <f aca="false">IF(OR(AH49="Venture", AH49="Run Goal", AH49="Chg Goal"),AI49,AH49&amp;AI49&amp;AR49)</f>
        <v/>
      </c>
      <c r="AC49" s="53" t="str">
        <f aca="false">"  -  "&amp;IF(C49=90000000,9&amp;"Z",D49&amp;AE49&amp;IF(OR(B49="Run Goal",B49="Chg Goal", B49="Venture"),"",IF(OR(B49="Routine",B49="Project"),F49&amp;E49,  IF(OR(B49="Sub",B49="Stream"),H49&amp;G49&amp;F49&amp;E49,IF(OR(B49="Drill",B49="Action"),J49&amp;I49&amp;H49&amp;G49&amp;F49&amp;E49,     "") )    )))</f>
        <v>  -  9Z</v>
      </c>
      <c r="AD49" s="51" t="str">
        <f aca="false">IF(AND(AM49="",AN49=""),"Y","N")</f>
        <v>Y</v>
      </c>
      <c r="AE49" s="103" t="str">
        <f aca="false">IF(OR(AF49="Y",AF49="Y"),AF49,IF(DM49="none","N",IF(DM49&gt;($A$17-WEEKDAY($A$17,2)-(7*$AE$18)),"Y","N")))</f>
        <v>N</v>
      </c>
      <c r="AF49" s="104"/>
      <c r="AG49" s="105"/>
      <c r="AH49" s="79"/>
      <c r="AI49" s="56"/>
      <c r="AJ49" s="56"/>
      <c r="AK49" s="106"/>
      <c r="AL49" s="106"/>
      <c r="AM49" s="106"/>
      <c r="AN49" s="106"/>
      <c r="AO49" s="107"/>
      <c r="AP49" s="107"/>
      <c r="AQ49" s="79"/>
      <c r="AR49" s="79"/>
      <c r="AS49" s="79"/>
      <c r="AT49" s="79"/>
      <c r="AU49" s="79"/>
      <c r="AV49" s="79"/>
      <c r="AW49" s="79"/>
      <c r="AX49" s="79"/>
      <c r="AY49" s="79"/>
      <c r="AZ49" s="79"/>
      <c r="BA49" s="63"/>
      <c r="BB49" s="108"/>
      <c r="BC49" s="63"/>
      <c r="BD49" s="51" t="n">
        <f aca="false">SUM(N49:Q49)</f>
        <v>0</v>
      </c>
      <c r="BE49" s="59" t="n">
        <f aca="false">IF(AI49="",1,IF(S49&lt;&gt;0,(O49*0.5+R49)/S49,1))</f>
        <v>1</v>
      </c>
      <c r="BF49" s="81" t="str">
        <f aca="false">IF(AH49="","",IF(AH49="Venture",W49,IF(OR(AH49="Chg Goal",AH49="RUn Goal"),V49,IF(OR(AH49="ROutine",AH49="Project"),V49,IF(OR(AH49="Sub",AH49="Stream"),U49,IF(OR(AH49="Drill",AH49="Action"),T49,0))))))</f>
        <v/>
      </c>
      <c r="BG49" s="81" t="str">
        <f aca="false">IF(AH49="","",IF(AH49="Venture",AA49,IF(OR(AH49="Chg Goal",AH49="RUn Goal"),Z49,IF(OR(AH49="ROutine",AH49="Project"),Z49,IF(OR(AH49="Sub",AH49="Stream"),Y49,IF(OR(AH49="Drill",AH49="Action"),X49,0))))))</f>
        <v/>
      </c>
      <c r="BH49" s="109" t="str">
        <f aca="false">IF(AI49="","",IF(OR(BF49=0, BF49=""),0,BG49/BF49))</f>
        <v/>
      </c>
      <c r="BI49" s="110" t="str">
        <f aca="false">IF(    OR(   AND($C49=10000000,    BI$19&gt;=$A$17,      BI$19 &lt;($A$17+$DH$17)   ),   AND($C49&lt;&gt;10000000,  BI$19&gt;=$DW49,    BI$19&lt;=($DX49+$DH$17)  ))   ,$DV49,  "")</f>
        <v/>
      </c>
      <c r="BJ49" s="111" t="str">
        <f aca="false">IF(    OR(   AND($C49=10000000,    $A$17&lt;=BJ$19,      ($A$17+$DH$17)&gt;BJ$19    ),   AND($C49&lt;&gt;10000000,  BJ$19&gt;=$DW49,    BJ$19&lt;=($DX49+$DH$17)  ))   ,$DV49,  "")</f>
        <v/>
      </c>
      <c r="BK49" s="111" t="str">
        <f aca="false">IF(    OR(   AND($C49=10000000,    $A$17&lt;=BK$19,      ($A$17+$DH$17)&gt;BK$19    ),   AND($C49&lt;&gt;10000000,  BK$19&gt;=$DW49,    BK$19&lt;=($DX49+$DH$17)  ))   ,$DV49,  "")</f>
        <v/>
      </c>
      <c r="BL49" s="111" t="str">
        <f aca="false">IF(    OR(   AND($C49=10000000,    $A$17&lt;=BL$19,      ($A$17+$DH$17)&gt;BL$19    ),   AND($C49&lt;&gt;10000000,  BL$19&gt;=$DW49,    BL$19&lt;=($DX49+$DH$17)  ))   ,$DV49,  "")</f>
        <v/>
      </c>
      <c r="BM49" s="111" t="str">
        <f aca="false">IF(    OR(   AND($C49=10000000,    $A$17&lt;=BM$19,      ($A$17+$DH$17)&gt;BM$19    ),   AND($C49&lt;&gt;10000000,  BM$19&gt;=$DW49,    BM$19&lt;=($DX49+$DH$17)  ))   ,$DV49,  "")</f>
        <v/>
      </c>
      <c r="BN49" s="111" t="str">
        <f aca="false">IF(    OR(   AND($C49=10000000,    $A$17&lt;=BN$19,      ($A$17+$DH$17)&gt;BN$19    ),   AND($C49&lt;&gt;10000000,  BN$19&gt;=$DW49,    BN$19&lt;=($DX49+$DH$17)  ))   ,$DV49,  "")</f>
        <v/>
      </c>
      <c r="BO49" s="111" t="str">
        <f aca="false">IF(    OR(   AND($C49=10000000,    $A$17&lt;=BO$19,      ($A$17+$DH$17)&gt;BO$19    ),   AND($C49&lt;&gt;10000000,  BO$19&gt;=$DW49,    BO$19&lt;=($DX49+$DH$17)  ))   ,$DV49,  "")</f>
        <v/>
      </c>
      <c r="BP49" s="111" t="str">
        <f aca="false">IF(    OR(   AND($C49=10000000,    $A$17&lt;=BP$19,      ($A$17+$DH$17)&gt;BP$19    ),   AND($C49&lt;&gt;10000000,  BP$19&gt;=$DW49,    BP$19&lt;=($DX49+$DH$17)  ))   ,$DV49,  "")</f>
        <v/>
      </c>
      <c r="BQ49" s="111" t="str">
        <f aca="false">IF(    OR(   AND($C49=10000000,    $A$17&lt;=BQ$19,      ($A$17+$DH$17)&gt;BQ$19    ),   AND($C49&lt;&gt;10000000,  BQ$19&gt;=$DW49,    BQ$19&lt;=($DX49+$DH$17)  ))   ,$DV49,  "")</f>
        <v/>
      </c>
      <c r="BR49" s="111" t="str">
        <f aca="false">IF(    OR(   AND($C49=10000000,    $A$17&lt;=BR$19,      ($A$17+$DH$17)&gt;BR$19    ),   AND($C49&lt;&gt;10000000,  BR$19&gt;=$DW49,    BR$19&lt;=($DX49+$DH$17)  ))   ,$DV49,  "")</f>
        <v/>
      </c>
      <c r="BS49" s="111" t="str">
        <f aca="false">IF(    OR(   AND($C49=10000000,    $A$17&lt;=BS$19,      ($A$17+$DH$17)&gt;BS$19    ),   AND($C49&lt;&gt;10000000,  BS$19&gt;=$DW49,    BS$19&lt;=($DX49+$DH$17)  ))   ,$DV49,  "")</f>
        <v/>
      </c>
      <c r="BT49" s="111" t="str">
        <f aca="false">IF(    OR(   AND($C49=10000000,    $A$17&lt;=BT$19,      ($A$17+$DH$17)&gt;BT$19    ),   AND($C49&lt;&gt;10000000,  BT$19&gt;=$DW49,    BT$19&lt;=($DX49+$DH$17)  ))   ,$DV49,  "")</f>
        <v/>
      </c>
      <c r="BU49" s="111" t="str">
        <f aca="false">IF(    OR(   AND($C49=10000000,    $A$17&lt;=BU$19,      ($A$17+$DH$17)&gt;BU$19    ),   AND($C49&lt;&gt;10000000,  BU$19&gt;=$DW49,    BU$19&lt;=($DX49+$DH$17)  ))   ,$DV49,  "")</f>
        <v/>
      </c>
      <c r="BV49" s="111" t="str">
        <f aca="false">IF(    OR(   AND($C49=10000000,    $A$17&lt;=BV$19,      ($A$17+$DH$17)&gt;BV$19    ),   AND($C49&lt;&gt;10000000,  BV$19&gt;=$DW49,    BV$19&lt;=($DX49+$DH$17)  ))   ,$DV49,  "")</f>
        <v/>
      </c>
      <c r="BW49" s="111" t="str">
        <f aca="false">IF(    OR(   AND($C49=10000000,    $A$17&lt;=BW$19,      ($A$17+$DH$17)&gt;BW$19    ),   AND($C49&lt;&gt;10000000,  BW$19&gt;=$DW49,    BW$19&lt;=($DX49+$DH$17)  ))   ,$DV49,  "")</f>
        <v/>
      </c>
      <c r="BX49" s="111" t="str">
        <f aca="false">IF(    OR(   AND($C49=10000000,    $A$17&lt;=BX$19,      ($A$17+$DH$17)&gt;BX$19    ),   AND($C49&lt;&gt;10000000,  BX$19&gt;=$DW49,    BX$19&lt;=($DX49+$DH$17)  ))   ,$DV49,  "")</f>
        <v/>
      </c>
      <c r="BY49" s="111" t="str">
        <f aca="false">IF(    OR(   AND($C49=10000000,    $A$17&lt;=BY$19,      ($A$17+$DH$17)&gt;BY$19    ),   AND($C49&lt;&gt;10000000,  BY$19&gt;=$DW49,    BY$19&lt;=($DX49+$DH$17)  ))   ,$DV49,  "")</f>
        <v/>
      </c>
      <c r="BZ49" s="111" t="str">
        <f aca="false">IF(    OR(   AND($C49=10000000,    $A$17&lt;=BZ$19,      ($A$17+$DH$17)&gt;BZ$19    ),   AND($C49&lt;&gt;10000000,  BZ$19&gt;=$DW49,    BZ$19&lt;=($DX49+$DH$17)  ))   ,$DV49,  "")</f>
        <v/>
      </c>
      <c r="CA49" s="111" t="str">
        <f aca="false">IF(    OR(   AND($C49=10000000,    $A$17&lt;=CA$19,      ($A$17+$DH$17)&gt;CA$19    ),   AND($C49&lt;&gt;10000000,  CA$19&gt;=$DW49,    CA$19&lt;=($DX49+$DH$17)  ))   ,$DV49,  "")</f>
        <v/>
      </c>
      <c r="CB49" s="111" t="str">
        <f aca="false">IF(    OR(   AND($C49=10000000,    $A$17&lt;=CB$19,      ($A$17+$DH$17)&gt;CB$19    ),   AND($C49&lt;&gt;10000000,  CB$19&gt;=$DW49,    CB$19&lt;=($DX49+$DH$17)  ))   ,$DV49,  "")</f>
        <v/>
      </c>
      <c r="CC49" s="111" t="str">
        <f aca="false">IF(    OR(   AND($C49=10000000,    $A$17&lt;=CC$19,      ($A$17+$DH$17)&gt;CC$19    ),   AND($C49&lt;&gt;10000000,  CC$19&gt;=$DW49,    CC$19&lt;=($DX49+$DH$17)  ))   ,$DV49,  "")</f>
        <v/>
      </c>
      <c r="CD49" s="111" t="str">
        <f aca="false">IF(    OR(   AND($C49=10000000,    $A$17&lt;=CD$19,      ($A$17+$DH$17)&gt;CD$19    ),   AND($C49&lt;&gt;10000000,  CD$19&gt;=$DW49,    CD$19&lt;=($DX49+$DH$17)  ))   ,$DV49,  "")</f>
        <v/>
      </c>
      <c r="CE49" s="111" t="str">
        <f aca="false">IF(    OR(   AND($C49=10000000,    $A$17&lt;=CE$19,      ($A$17+$DH$17)&gt;CE$19    ),   AND($C49&lt;&gt;10000000,  CE$19&gt;=$DW49,    CE$19&lt;=($DX49+$DH$17)  ))   ,$DV49,  "")</f>
        <v/>
      </c>
      <c r="CF49" s="111" t="str">
        <f aca="false">IF(    OR(   AND($C49=10000000,    $A$17&lt;=CF$19,      ($A$17+$DH$17)&gt;CF$19    ),   AND($C49&lt;&gt;10000000,  CF$19&gt;=$DW49,    CF$19&lt;=($DX49+$DH$17)  ))   ,$DV49,  "")</f>
        <v/>
      </c>
      <c r="CG49" s="111" t="str">
        <f aca="false">IF(    OR(   AND($C49=10000000,    $A$17&lt;=CG$19,      ($A$17+$DH$17)&gt;CG$19    ),   AND($C49&lt;&gt;10000000,  CG$19&gt;=$DW49,    CG$19&lt;=($DX49+$DH$17)  ))   ,$DV49,  "")</f>
        <v/>
      </c>
      <c r="CH49" s="111" t="str">
        <f aca="false">IF(    OR(   AND($C49=10000000,    $A$17&lt;=CH$19,      ($A$17+$DH$17)&gt;CH$19    ),   AND($C49&lt;&gt;10000000,  CH$19&gt;=$DW49,    CH$19&lt;=($DX49+$DH$17)  ))   ,$DV49,  "")</f>
        <v/>
      </c>
      <c r="CI49" s="111" t="str">
        <f aca="false">IF(    OR(   AND($C49=10000000,    $A$17&lt;=CI$19,      ($A$17+$DH$17)&gt;CI$19    ),   AND($C49&lt;&gt;10000000,  CI$19&gt;=$DW49,    CI$19&lt;=($DX49+$DH$17)  ))   ,$DV49,  "")</f>
        <v/>
      </c>
      <c r="CJ49" s="111" t="str">
        <f aca="false">IF(    OR(   AND($C49=10000000,    $A$17&lt;=CJ$19,      ($A$17+$DH$17)&gt;CJ$19    ),   AND($C49&lt;&gt;10000000,  CJ$19&gt;=$DW49,    CJ$19&lt;=($DX49+$DH$17)  ))   ,$DV49,  "")</f>
        <v/>
      </c>
      <c r="CK49" s="111" t="str">
        <f aca="false">IF(    OR(   AND($C49=10000000,    $A$17&lt;=CK$19,      ($A$17+$DH$17)&gt;CK$19    ),   AND($C49&lt;&gt;10000000,  CK$19&gt;=$DW49,    CK$19&lt;=($DX49+$DH$17)  ))   ,$DV49,  "")</f>
        <v/>
      </c>
      <c r="CL49" s="111" t="str">
        <f aca="false">IF(    OR(   AND($C49=10000000,    $A$17&lt;=CL$19,      ($A$17+$DH$17)&gt;CL$19    ),   AND($C49&lt;&gt;10000000,  CL$19&gt;=$DW49,    CL$19&lt;=($DX49+$DH$17)  ))   ,$DV49,  "")</f>
        <v/>
      </c>
      <c r="CM49" s="111" t="str">
        <f aca="false">IF(    OR(   AND($C49=10000000,    $A$17&lt;=CM$19,      ($A$17+$DH$17)&gt;CM$19    ),   AND($C49&lt;&gt;10000000,  CM$19&gt;=$DW49,    CM$19&lt;=($DX49+$DH$17)  ))   ,$DV49,  "")</f>
        <v/>
      </c>
      <c r="CN49" s="111" t="str">
        <f aca="false">IF(    OR(   AND($C49=10000000,    $A$17&lt;=CN$19,      ($A$17+$DH$17)&gt;CN$19    ),   AND($C49&lt;&gt;10000000,  CN$19&gt;=$DW49,    CN$19&lt;=($DX49+$DH$17)  ))   ,$DV49,  "")</f>
        <v/>
      </c>
      <c r="CO49" s="111" t="str">
        <f aca="false">IF(    OR(   AND($C49=10000000,    $A$17&lt;=CO$19,      ($A$17+$DH$17)&gt;CO$19    ),   AND($C49&lt;&gt;10000000,  CO$19&gt;=$DW49,    CO$19&lt;=($DX49+$DH$17)  ))   ,$DV49,  "")</f>
        <v/>
      </c>
      <c r="CP49" s="111" t="str">
        <f aca="false">IF(    OR(   AND($C49=10000000,    $A$17&lt;=CP$19,      ($A$17+$DH$17)&gt;CP$19    ),   AND($C49&lt;&gt;10000000,  CP$19&gt;=$DW49,    CP$19&lt;=($DX49+$DH$17)  ))   ,$DV49,  "")</f>
        <v/>
      </c>
      <c r="CQ49" s="111" t="str">
        <f aca="false">IF(    OR(   AND($C49=10000000,    $A$17&lt;=CQ$19,      ($A$17+$DH$17)&gt;CQ$19    ),   AND($C49&lt;&gt;10000000,  CQ$19&gt;=$DW49,    CQ$19&lt;=($DX49+$DH$17)  ))   ,$DV49,  "")</f>
        <v/>
      </c>
      <c r="CR49" s="111" t="str">
        <f aca="false">IF(    OR(   AND($C49=10000000,    $A$17&lt;=CR$19,      ($A$17+$DH$17)&gt;CR$19    ),   AND($C49&lt;&gt;10000000,  CR$19&gt;=$DW49,    CR$19&lt;=($DX49+$DH$17)  ))   ,$DV49,  "")</f>
        <v/>
      </c>
      <c r="CS49" s="111" t="str">
        <f aca="false">IF(    OR(   AND($C49=10000000,    $A$17&lt;=CS$19,      ($A$17+$DH$17)&gt;CS$19    ),   AND($C49&lt;&gt;10000000,  CS$19&gt;=$DW49,    CS$19&lt;=($DX49+$DH$17)  ))   ,$DV49,  "")</f>
        <v/>
      </c>
      <c r="CT49" s="111" t="str">
        <f aca="false">IF(    OR(   AND($C49=10000000,    $A$17&lt;=CT$19,      ($A$17+$DH$17)&gt;CT$19    ),   AND($C49&lt;&gt;10000000,  CT$19&gt;=$DW49,    CT$19&lt;=($DX49+$DH$17)  ))   ,$DV49,  "")</f>
        <v/>
      </c>
      <c r="CU49" s="111" t="str">
        <f aca="false">IF(    OR(   AND($C49=10000000,    $A$17&lt;=CU$19,      ($A$17+$DH$17)&gt;CU$19    ),   AND($C49&lt;&gt;10000000,  CU$19&gt;=$DW49,    CU$19&lt;=($DX49+$DH$17)  ))   ,$DV49,  "")</f>
        <v/>
      </c>
      <c r="CV49" s="111" t="str">
        <f aca="false">IF(    OR(   AND($C49=10000000,    $A$17&lt;=CV$19,      ($A$17+$DH$17)&gt;CV$19    ),   AND($C49&lt;&gt;10000000,  CV$19&gt;=$DW49,    CV$19&lt;=($DX49+$DH$17)  ))   ,$DV49,  "")</f>
        <v/>
      </c>
      <c r="CW49" s="111" t="str">
        <f aca="false">IF(    OR(   AND($C49=10000000,    $A$17&lt;=CW$19,      ($A$17+$DH$17)&gt;CW$19    ),   AND($C49&lt;&gt;10000000,  CW$19&gt;=$DW49,    CW$19&lt;=($DX49+$DH$17)  ))   ,$DV49,  "")</f>
        <v/>
      </c>
      <c r="CX49" s="111" t="str">
        <f aca="false">IF(    OR(   AND($C49=10000000,    $A$17&lt;=CX$19,      ($A$17+$DH$17)&gt;CX$19    ),   AND($C49&lt;&gt;10000000,  CX$19&gt;=$DW49,    CX$19&lt;=($DX49+$DH$17)  ))   ,$DV49,  "")</f>
        <v/>
      </c>
      <c r="CY49" s="111" t="str">
        <f aca="false">IF(    OR(   AND($C49=10000000,    $A$17&lt;=CY$19,      ($A$17+$DH$17)&gt;CY$19    ),   AND($C49&lt;&gt;10000000,  CY$19&gt;=$DW49,    CY$19&lt;=($DX49+$DH$17)  ))   ,$DV49,  "")</f>
        <v/>
      </c>
      <c r="CZ49" s="111" t="str">
        <f aca="false">IF(    OR(   AND($C49=10000000,    $A$17&lt;=CZ$19,      ($A$17+$DH$17)&gt;CZ$19    ),   AND($C49&lt;&gt;10000000,  CZ$19&gt;=$DW49,    CZ$19&lt;=($DX49+$DH$17)  ))   ,$DV49,  "")</f>
        <v/>
      </c>
      <c r="DA49" s="111" t="str">
        <f aca="false">IF(    OR(   AND($C49=10000000,    $A$17&lt;=DA$19,      ($A$17+$DH$17)&gt;DA$19    ),   AND($C49&lt;&gt;10000000,  DA$19&gt;=$DW49,    DA$19&lt;=($DX49+$DH$17)  ))   ,$DV49,  "")</f>
        <v/>
      </c>
      <c r="DB49" s="111" t="str">
        <f aca="false">IF(    OR(   AND($C49=10000000,    $A$17&lt;=DB$19,      ($A$17+$DH$17)&gt;DB$19    ),   AND($C49&lt;&gt;10000000,  DB$19&gt;=$DW49,    DB$19&lt;=($DX49+$DH$17)  ))   ,$DV49,  "")</f>
        <v/>
      </c>
      <c r="DC49" s="111" t="str">
        <f aca="false">IF(    OR(   AND($C49=10000000,    $A$17&lt;=DC$19,      ($A$17+$DH$17)&gt;DC$19    ),   AND($C49&lt;&gt;10000000,  DC$19&gt;=$DW49,    DC$19&lt;=($DX49+$DH$17)  ))   ,$DV49,  "")</f>
        <v/>
      </c>
      <c r="DD49" s="111" t="str">
        <f aca="false">IF(    OR(   AND($C49=10000000,    $A$17&lt;=DD$19,      ($A$17+$DH$17)&gt;DD$19    ),   AND($C49&lt;&gt;10000000,  DD$19&gt;=$DW49,    DD$19&lt;=($DX49+$DH$17)  ))   ,$DV49,  "")</f>
        <v/>
      </c>
      <c r="DE49" s="111" t="str">
        <f aca="false">IF(    OR(   AND($C49=10000000,    $A$17&lt;=DE$19,      ($A$17+$DH$17)&gt;DE$19    ),   AND($C49&lt;&gt;10000000,  DE$19&gt;=$DW49,    DE$19&lt;=($DX49+$DH$17)  ))   ,$DV49,  "")</f>
        <v/>
      </c>
      <c r="DF49" s="111" t="str">
        <f aca="false">IF(    OR(   AND($C49=10000000,    $A$17&lt;=DF$19,      ($A$17+$DH$17)&gt;DF$19    ),   AND($C49&lt;&gt;10000000,  DF$19&gt;=$DW49,    DF$19&lt;=($DX49+$DH$17)  ))   ,$DV49,  "")</f>
        <v/>
      </c>
      <c r="DG49" s="111" t="str">
        <f aca="false">IF(    OR(   AND($C49=10000000,    $A$17&lt;=DG$19,      ($A$17+$DH$17)&gt;DG$19    ),   AND($C49&lt;&gt;10000000,  DG$19&gt;=$DW49,    DG$19&lt;=($DX49+$DH$17)  ))   ,$DV49,  "")</f>
        <v/>
      </c>
      <c r="DH49" s="111" t="str">
        <f aca="false">IF(    OR(   AND($C49=10000000,    $A$17&lt;=DH$19,      ($A$17+$DH$17)&gt;DH$19    ),   AND($C49&lt;&gt;10000000,  DH$19&gt;=$DW49,    DH$19&lt;=($DX49+$DH$17)  ))   ,$DV49,  "")</f>
        <v/>
      </c>
      <c r="DI49" s="112" t="str">
        <f aca="false">IF(BB49="","",IF(ISERROR(FIND(CHAR(10),BB49,1)),BB49,LEFT(BB49,FIND(CHAR(10),BB49,1))))</f>
        <v/>
      </c>
      <c r="DJ49" s="53" t="str">
        <f aca="false">IF(BB49="","",IFERROR(RIGHT(BB49,LEN(BB49)-FIND("@@@",SUBSTITUTE(BB49,CHAR(10),"@@@",LEN(BB49)-LEN(SUBSTITUTE(BB49,CHAR(10),""))),1)),BB49))</f>
        <v/>
      </c>
      <c r="DK49" s="53" t="str">
        <f aca="false">IF(BC49="","",IFERROR(RIGHT(BC49,LEN(BC49)-FIND("@@@",SUBSTITUTE(BC49,CHAR(10),"@@@",LEN(BC49)-LEN(SUBSTITUTE(BC49,CHAR(10),""))),1)),BC49))</f>
        <v/>
      </c>
      <c r="DL49" s="113" t="str">
        <f aca="false">IFERROR(DATE(("20"&amp;MID(DI49,7,2))*1,MID(DI49,4,2)*1,MID(DI49,1,2)*1),"none")</f>
        <v>none</v>
      </c>
      <c r="DM49" s="113" t="str">
        <f aca="false">IFERROR(DATE(("20"&amp;MID(DJ49,7,2))*1,MID(DJ49,4,2)*1,MID(DJ49,1,2)*1),"none")</f>
        <v>none</v>
      </c>
      <c r="DN49" s="113" t="n">
        <f aca="false">IF(DL49&lt;&gt;"none",DL49,DATE(1900,1,1))</f>
        <v>2</v>
      </c>
      <c r="DO49" s="113" t="n">
        <f aca="false">IF(DM49&lt;&gt;"none",DM49,DN49)</f>
        <v>2</v>
      </c>
      <c r="DP49" s="114" t="n">
        <f aca="false">_xlfn.DAYS($A$17,DN49)</f>
        <v>45332</v>
      </c>
      <c r="DQ49" s="114" t="n">
        <f aca="false">_xlfn.DAYS($A$17, DO49)</f>
        <v>45332</v>
      </c>
      <c r="DR49" s="51" t="n">
        <f aca="false">IF(DO49&lt;&gt;"",INT(DQ49/7),0)</f>
        <v>6476</v>
      </c>
      <c r="DS49" s="114" t="n">
        <f aca="false">IF(M49="Overdue",_xlfn.DAYS($A$17,AL49),0)</f>
        <v>0</v>
      </c>
      <c r="DT49" s="114" t="n">
        <f aca="false">IF(AH49="Project",_xlfn.DAYS(AL49,$A$17),0)</f>
        <v>0</v>
      </c>
      <c r="DU49" s="51" t="str">
        <f aca="false">IFERROR(INDEX(Static!$D$5:$E$11,MATCH(AH49,Static!$D$5:$D$11,0),2),"")</f>
        <v/>
      </c>
      <c r="DV49" s="51" t="str">
        <f aca="false">IF(C49=10000000,"Red",IF(OR(C49=11000000,C49=12000000),"Black",IF(C49=11100000,"Dark",IF(AND(C49=12100000,M49="Completed"),"Green",IF(AND(C49=12100000,M49="Overdue"),"Red",IF(C49=12100000,"Dark",IF(AND(C49=12110000,M49="Overdue"),"LightRed",IF(AND(C49=12110000,M49="Completed"),"LightGreen",IF(OR(C49=11110000,C49=12110000),"Light",IF(AND(C49=12111000,M49="Overdue"),"SoftRed",IF(AND(C49=12111000,M49="Completed"),"SoftGreen",IF(OR(C49=11111000,C49=12111000),"Grey",""))))))))))))</f>
        <v/>
      </c>
      <c r="DW49" s="49" t="n">
        <f aca="false">IF(AK49&lt;&gt;"",AK49,$BI$19)</f>
        <v>44927</v>
      </c>
      <c r="DX49" s="49" t="n">
        <f aca="false">IF(AL49&lt;&gt;"",AL49,$DH$19)</f>
        <v>45657</v>
      </c>
      <c r="DY49" s="79" t="s">
        <v>450</v>
      </c>
    </row>
    <row r="50" customFormat="false" ht="14.15" hidden="false" customHeight="true" outlineLevel="0" collapsed="false">
      <c r="A50" s="63"/>
      <c r="B50" s="53" t="n">
        <f aca="false">AH50</f>
        <v>0</v>
      </c>
      <c r="C50" s="51" t="n">
        <f aca="false">IFERROR(INDEX(Static!$D$5:$F$11,MATCH(AH50,Static!$D$5:$D$11,0),3),90000000)</f>
        <v>90000000</v>
      </c>
      <c r="D50" s="51" t="str">
        <f aca="false">MID(C50,2,1)</f>
        <v>0</v>
      </c>
      <c r="E50" s="53" t="str">
        <f aca="false">AB50</f>
        <v/>
      </c>
      <c r="F50" s="51" t="str">
        <f aca="false">IF(B50="Venture",0,IF(OR(B50="Project",B50="Stream",B50="Action"),AK50,""))</f>
        <v/>
      </c>
      <c r="G50" s="51" t="n">
        <f aca="false">AS50</f>
        <v>0</v>
      </c>
      <c r="H50" s="51" t="str">
        <f aca="false">IF(B50="Venture",0,IFERROR(INDEX($E$20:$F$55,MATCH(G50,$E$20:$E$55,0),2),""))</f>
        <v/>
      </c>
      <c r="I50" s="51" t="str">
        <f aca="false">IF(B50="Venture",0,IFERROR(INDEX($E$20:$G$55,MATCH(G50,$E$20:$E$55,0),3),""))</f>
        <v/>
      </c>
      <c r="J50" s="51" t="str">
        <f aca="false">IF(B50="Venture",0,IFERROR(INDEX($E$20:$H$55,MATCH(G50,$E$20:$E$55,0),4),""))</f>
        <v/>
      </c>
      <c r="K50" s="51" t="n">
        <f aca="false">IF(B50="Venture",0,IFERROR(INDEX($E$20:$G$55,MATCH(I50,$E$20:$E$55,0),3),""))</f>
        <v>0</v>
      </c>
      <c r="L50" s="51" t="str">
        <f aca="false">IF(M50="Completed","Completed","Ongoing")</f>
        <v>Ongoing</v>
      </c>
      <c r="M50" s="51" t="n">
        <f aca="false">IF(OR(AH50="Venture",AH50="Routine",AH50="Run Goal", AH50="Chg Goal", AH50=""),AH50,IF(AN50&lt;&gt;"","Completed",IF(AM50&lt;&gt;"","Pending",IF(AND(AL50&lt;&gt;"",$A$17&gt;AL50),"Overdue",IF($A$17&gt;AK50,"Started","Open")))))</f>
        <v>0</v>
      </c>
      <c r="N50" s="50" t="n">
        <f aca="false">((LEN($BC50)-LEN(SUBSTITUTE($BC50,CHAR(10)&amp;". ","")))/3)+IF(LEFT(TRIM($BC50),2)=". ",1,0)</f>
        <v>0</v>
      </c>
      <c r="O50" s="50" t="n">
        <f aca="false">((LEN($BC50)-LEN(SUBSTITUTE($BC50,CHAR(10)&amp;"/ ","")))/3)+IF(LEFT(TRIM($BC50),2)="/ ",1,0)</f>
        <v>0</v>
      </c>
      <c r="P50" s="50" t="n">
        <f aca="false">((LEN($BC50)-LEN(SUBSTITUTE($BC50,CHAR(10)&amp;"~ ","")))/3)+IF(LEFT(TRIM($BC50),2)="~ ",1,0)</f>
        <v>0</v>
      </c>
      <c r="Q50" s="50" t="n">
        <f aca="false">((LEN($BC50)-LEN(SUBSTITUTE($BC50,CHAR(10)&amp;"! ","")))/3)+IF(LEFT(TRIM($BC50),2)="! ",1,0)</f>
        <v>0</v>
      </c>
      <c r="R50" s="50" t="n">
        <f aca="false">((LEN($BC50)-LEN(SUBSTITUTE($BC50,CHAR(10)&amp;"x ","")))/3)+IF(LEFT(TRIM($BC50),2)="x ",1,0)</f>
        <v>0</v>
      </c>
      <c r="S50" s="50" t="n">
        <f aca="false">SUM(N50:R50)</f>
        <v>0</v>
      </c>
      <c r="T50" s="51" t="n">
        <f aca="false">IF(OR($B50="Drill",$B50="Action"),$AO50,0)</f>
        <v>0</v>
      </c>
      <c r="U50" s="51" t="n">
        <f aca="false">IF(OR($B50="Sub",$B50="Stream"),$AO50+SUMIFS($AO$20:$AO$55,$G$20:$G$55,$E50),0)</f>
        <v>0</v>
      </c>
      <c r="V50" s="51" t="n">
        <f aca="false">IF(OR($B50="Routine",$B50="Project"),$AO50+SUMIFS($U$20:$U$55,$G$20:$G$55,$E50),0)</f>
        <v>0</v>
      </c>
      <c r="W50" s="51" t="n">
        <f aca="false">IF($B50="Venture",$AO50+SUMIFS($V$20:$V$55,$G$20:$G$55,$E50),0)</f>
        <v>0</v>
      </c>
      <c r="X50" s="51" t="n">
        <f aca="false">IF(OR($B50="Drill",$B50="Action"),$AP50,0)</f>
        <v>0</v>
      </c>
      <c r="Y50" s="51" t="n">
        <f aca="false">IF(OR($B50="Sub",$B50="Stream"),$AP50+SUMIFS($AP$20:$AP$55,$G$20:$G$55,$E50),0)</f>
        <v>0</v>
      </c>
      <c r="Z50" s="51" t="n">
        <f aca="false">IF(OR($B50="Routine",$B50="Project"),$AP50+SUMIFS($Y$20:$Y$55,$G$20:$G$55,$E50),0)</f>
        <v>0</v>
      </c>
      <c r="AA50" s="51" t="n">
        <f aca="false">IF($B50="Venture",$AP50+SUMIFS($Z$20:$Z$55,$G$20:$G$55,$E50),0)</f>
        <v>0</v>
      </c>
      <c r="AB50" s="51" t="str">
        <f aca="false">IF(OR(AH50="Venture", AH50="Run Goal", AH50="Chg Goal"),AI50,AH50&amp;AI50&amp;AR50)</f>
        <v/>
      </c>
      <c r="AC50" s="53" t="str">
        <f aca="false">"  -  "&amp;IF(C50=90000000,9&amp;"Z",D50&amp;AE50&amp;IF(OR(B50="Run Goal",B50="Chg Goal", B50="Venture"),"",IF(OR(B50="Routine",B50="Project"),F50&amp;E50,  IF(OR(B50="Sub",B50="Stream"),H50&amp;G50&amp;F50&amp;E50,IF(OR(B50="Drill",B50="Action"),J50&amp;I50&amp;H50&amp;G50&amp;F50&amp;E50,     "") )    )))</f>
        <v>  -  9Z</v>
      </c>
      <c r="AD50" s="51" t="str">
        <f aca="false">IF(AND(AM50="",AN50=""),"Y","N")</f>
        <v>Y</v>
      </c>
      <c r="AE50" s="103" t="str">
        <f aca="false">IF(OR(AF50="Y",AF50="Y"),AF50,IF(DM50="none","N",IF(DM50&gt;($A$17-WEEKDAY($A$17,2)-(7*$AE$18)),"Y","N")))</f>
        <v>N</v>
      </c>
      <c r="AF50" s="104"/>
      <c r="AG50" s="105"/>
      <c r="AH50" s="79"/>
      <c r="AI50" s="56"/>
      <c r="AJ50" s="56"/>
      <c r="AK50" s="106"/>
      <c r="AL50" s="106"/>
      <c r="AM50" s="106"/>
      <c r="AN50" s="106"/>
      <c r="AO50" s="107"/>
      <c r="AP50" s="107"/>
      <c r="AQ50" s="79"/>
      <c r="AR50" s="79"/>
      <c r="AS50" s="79"/>
      <c r="AT50" s="79"/>
      <c r="AU50" s="79"/>
      <c r="AV50" s="79"/>
      <c r="AW50" s="79"/>
      <c r="AX50" s="79"/>
      <c r="AY50" s="79"/>
      <c r="AZ50" s="79"/>
      <c r="BA50" s="63"/>
      <c r="BB50" s="63"/>
      <c r="BC50" s="63"/>
      <c r="BD50" s="51" t="n">
        <f aca="false">SUM(N50:Q50)</f>
        <v>0</v>
      </c>
      <c r="BE50" s="59" t="n">
        <f aca="false">IF(AI50="",1,IF(S50&lt;&gt;0,(O50*0.5+R50)/S50,1))</f>
        <v>1</v>
      </c>
      <c r="BF50" s="81" t="str">
        <f aca="false">IF(AH50="","",IF(AH50="Venture",W50,IF(OR(AH50="Chg Goal",AH50="RUn Goal"),V50,IF(OR(AH50="ROutine",AH50="Project"),V50,IF(OR(AH50="Sub",AH50="Stream"),U50,IF(OR(AH50="Drill",AH50="Action"),T50,0))))))</f>
        <v/>
      </c>
      <c r="BG50" s="81" t="str">
        <f aca="false">IF(AH50="","",IF(AH50="Venture",AA50,IF(OR(AH50="Chg Goal",AH50="RUn Goal"),Z50,IF(OR(AH50="ROutine",AH50="Project"),Z50,IF(OR(AH50="Sub",AH50="Stream"),Y50,IF(OR(AH50="Drill",AH50="Action"),X50,0))))))</f>
        <v/>
      </c>
      <c r="BH50" s="109" t="str">
        <f aca="false">IF(AI50="","",IF(OR(BF50=0, BF50=""),0,BG50/BF50))</f>
        <v/>
      </c>
      <c r="BI50" s="110" t="str">
        <f aca="false">IF(    OR(   AND($C50=10000000,    BI$19&gt;=$A$17,      BI$19 &lt;($A$17+$DH$17)   ),   AND($C50&lt;&gt;10000000,  BI$19&gt;=$DW50,    BI$19&lt;=($DX50+$DH$17)  ))   ,$DV50,  "")</f>
        <v/>
      </c>
      <c r="BJ50" s="111" t="str">
        <f aca="false">IF(    OR(   AND($C50=10000000,    $A$17&lt;=BJ$19,      ($A$17+$DH$17)&gt;BJ$19    ),   AND($C50&lt;&gt;10000000,  BJ$19&gt;=$DW50,    BJ$19&lt;=($DX50+$DH$17)  ))   ,$DV50,  "")</f>
        <v/>
      </c>
      <c r="BK50" s="111" t="str">
        <f aca="false">IF(    OR(   AND($C50=10000000,    $A$17&lt;=BK$19,      ($A$17+$DH$17)&gt;BK$19    ),   AND($C50&lt;&gt;10000000,  BK$19&gt;=$DW50,    BK$19&lt;=($DX50+$DH$17)  ))   ,$DV50,  "")</f>
        <v/>
      </c>
      <c r="BL50" s="111" t="str">
        <f aca="false">IF(    OR(   AND($C50=10000000,    $A$17&lt;=BL$19,      ($A$17+$DH$17)&gt;BL$19    ),   AND($C50&lt;&gt;10000000,  BL$19&gt;=$DW50,    BL$19&lt;=($DX50+$DH$17)  ))   ,$DV50,  "")</f>
        <v/>
      </c>
      <c r="BM50" s="111" t="str">
        <f aca="false">IF(    OR(   AND($C50=10000000,    $A$17&lt;=BM$19,      ($A$17+$DH$17)&gt;BM$19    ),   AND($C50&lt;&gt;10000000,  BM$19&gt;=$DW50,    BM$19&lt;=($DX50+$DH$17)  ))   ,$DV50,  "")</f>
        <v/>
      </c>
      <c r="BN50" s="111" t="str">
        <f aca="false">IF(    OR(   AND($C50=10000000,    $A$17&lt;=BN$19,      ($A$17+$DH$17)&gt;BN$19    ),   AND($C50&lt;&gt;10000000,  BN$19&gt;=$DW50,    BN$19&lt;=($DX50+$DH$17)  ))   ,$DV50,  "")</f>
        <v/>
      </c>
      <c r="BO50" s="111" t="str">
        <f aca="false">IF(    OR(   AND($C50=10000000,    $A$17&lt;=BO$19,      ($A$17+$DH$17)&gt;BO$19    ),   AND($C50&lt;&gt;10000000,  BO$19&gt;=$DW50,    BO$19&lt;=($DX50+$DH$17)  ))   ,$DV50,  "")</f>
        <v/>
      </c>
      <c r="BP50" s="111" t="str">
        <f aca="false">IF(    OR(   AND($C50=10000000,    $A$17&lt;=BP$19,      ($A$17+$DH$17)&gt;BP$19    ),   AND($C50&lt;&gt;10000000,  BP$19&gt;=$DW50,    BP$19&lt;=($DX50+$DH$17)  ))   ,$DV50,  "")</f>
        <v/>
      </c>
      <c r="BQ50" s="111" t="str">
        <f aca="false">IF(    OR(   AND($C50=10000000,    $A$17&lt;=BQ$19,      ($A$17+$DH$17)&gt;BQ$19    ),   AND($C50&lt;&gt;10000000,  BQ$19&gt;=$DW50,    BQ$19&lt;=($DX50+$DH$17)  ))   ,$DV50,  "")</f>
        <v/>
      </c>
      <c r="BR50" s="111" t="str">
        <f aca="false">IF(    OR(   AND($C50=10000000,    $A$17&lt;=BR$19,      ($A$17+$DH$17)&gt;BR$19    ),   AND($C50&lt;&gt;10000000,  BR$19&gt;=$DW50,    BR$19&lt;=($DX50+$DH$17)  ))   ,$DV50,  "")</f>
        <v/>
      </c>
      <c r="BS50" s="111" t="str">
        <f aca="false">IF(    OR(   AND($C50=10000000,    $A$17&lt;=BS$19,      ($A$17+$DH$17)&gt;BS$19    ),   AND($C50&lt;&gt;10000000,  BS$19&gt;=$DW50,    BS$19&lt;=($DX50+$DH$17)  ))   ,$DV50,  "")</f>
        <v/>
      </c>
      <c r="BT50" s="111" t="str">
        <f aca="false">IF(    OR(   AND($C50=10000000,    $A$17&lt;=BT$19,      ($A$17+$DH$17)&gt;BT$19    ),   AND($C50&lt;&gt;10000000,  BT$19&gt;=$DW50,    BT$19&lt;=($DX50+$DH$17)  ))   ,$DV50,  "")</f>
        <v/>
      </c>
      <c r="BU50" s="111" t="str">
        <f aca="false">IF(    OR(   AND($C50=10000000,    $A$17&lt;=BU$19,      ($A$17+$DH$17)&gt;BU$19    ),   AND($C50&lt;&gt;10000000,  BU$19&gt;=$DW50,    BU$19&lt;=($DX50+$DH$17)  ))   ,$DV50,  "")</f>
        <v/>
      </c>
      <c r="BV50" s="111" t="str">
        <f aca="false">IF(    OR(   AND($C50=10000000,    $A$17&lt;=BV$19,      ($A$17+$DH$17)&gt;BV$19    ),   AND($C50&lt;&gt;10000000,  BV$19&gt;=$DW50,    BV$19&lt;=($DX50+$DH$17)  ))   ,$DV50,  "")</f>
        <v/>
      </c>
      <c r="BW50" s="111" t="str">
        <f aca="false">IF(    OR(   AND($C50=10000000,    $A$17&lt;=BW$19,      ($A$17+$DH$17)&gt;BW$19    ),   AND($C50&lt;&gt;10000000,  BW$19&gt;=$DW50,    BW$19&lt;=($DX50+$DH$17)  ))   ,$DV50,  "")</f>
        <v/>
      </c>
      <c r="BX50" s="111" t="str">
        <f aca="false">IF(    OR(   AND($C50=10000000,    $A$17&lt;=BX$19,      ($A$17+$DH$17)&gt;BX$19    ),   AND($C50&lt;&gt;10000000,  BX$19&gt;=$DW50,    BX$19&lt;=($DX50+$DH$17)  ))   ,$DV50,  "")</f>
        <v/>
      </c>
      <c r="BY50" s="111" t="str">
        <f aca="false">IF(    OR(   AND($C50=10000000,    $A$17&lt;=BY$19,      ($A$17+$DH$17)&gt;BY$19    ),   AND($C50&lt;&gt;10000000,  BY$19&gt;=$DW50,    BY$19&lt;=($DX50+$DH$17)  ))   ,$DV50,  "")</f>
        <v/>
      </c>
      <c r="BZ50" s="111" t="str">
        <f aca="false">IF(    OR(   AND($C50=10000000,    $A$17&lt;=BZ$19,      ($A$17+$DH$17)&gt;BZ$19    ),   AND($C50&lt;&gt;10000000,  BZ$19&gt;=$DW50,    BZ$19&lt;=($DX50+$DH$17)  ))   ,$DV50,  "")</f>
        <v/>
      </c>
      <c r="CA50" s="111" t="str">
        <f aca="false">IF(    OR(   AND($C50=10000000,    $A$17&lt;=CA$19,      ($A$17+$DH$17)&gt;CA$19    ),   AND($C50&lt;&gt;10000000,  CA$19&gt;=$DW50,    CA$19&lt;=($DX50+$DH$17)  ))   ,$DV50,  "")</f>
        <v/>
      </c>
      <c r="CB50" s="111" t="str">
        <f aca="false">IF(    OR(   AND($C50=10000000,    $A$17&lt;=CB$19,      ($A$17+$DH$17)&gt;CB$19    ),   AND($C50&lt;&gt;10000000,  CB$19&gt;=$DW50,    CB$19&lt;=($DX50+$DH$17)  ))   ,$DV50,  "")</f>
        <v/>
      </c>
      <c r="CC50" s="111" t="str">
        <f aca="false">IF(    OR(   AND($C50=10000000,    $A$17&lt;=CC$19,      ($A$17+$DH$17)&gt;CC$19    ),   AND($C50&lt;&gt;10000000,  CC$19&gt;=$DW50,    CC$19&lt;=($DX50+$DH$17)  ))   ,$DV50,  "")</f>
        <v/>
      </c>
      <c r="CD50" s="111" t="str">
        <f aca="false">IF(    OR(   AND($C50=10000000,    $A$17&lt;=CD$19,      ($A$17+$DH$17)&gt;CD$19    ),   AND($C50&lt;&gt;10000000,  CD$19&gt;=$DW50,    CD$19&lt;=($DX50+$DH$17)  ))   ,$DV50,  "")</f>
        <v/>
      </c>
      <c r="CE50" s="111" t="str">
        <f aca="false">IF(    OR(   AND($C50=10000000,    $A$17&lt;=CE$19,      ($A$17+$DH$17)&gt;CE$19    ),   AND($C50&lt;&gt;10000000,  CE$19&gt;=$DW50,    CE$19&lt;=($DX50+$DH$17)  ))   ,$DV50,  "")</f>
        <v/>
      </c>
      <c r="CF50" s="111" t="str">
        <f aca="false">IF(    OR(   AND($C50=10000000,    $A$17&lt;=CF$19,      ($A$17+$DH$17)&gt;CF$19    ),   AND($C50&lt;&gt;10000000,  CF$19&gt;=$DW50,    CF$19&lt;=($DX50+$DH$17)  ))   ,$DV50,  "")</f>
        <v/>
      </c>
      <c r="CG50" s="111" t="str">
        <f aca="false">IF(    OR(   AND($C50=10000000,    $A$17&lt;=CG$19,      ($A$17+$DH$17)&gt;CG$19    ),   AND($C50&lt;&gt;10000000,  CG$19&gt;=$DW50,    CG$19&lt;=($DX50+$DH$17)  ))   ,$DV50,  "")</f>
        <v/>
      </c>
      <c r="CH50" s="111" t="str">
        <f aca="false">IF(    OR(   AND($C50=10000000,    $A$17&lt;=CH$19,      ($A$17+$DH$17)&gt;CH$19    ),   AND($C50&lt;&gt;10000000,  CH$19&gt;=$DW50,    CH$19&lt;=($DX50+$DH$17)  ))   ,$DV50,  "")</f>
        <v/>
      </c>
      <c r="CI50" s="111" t="str">
        <f aca="false">IF(    OR(   AND($C50=10000000,    $A$17&lt;=CI$19,      ($A$17+$DH$17)&gt;CI$19    ),   AND($C50&lt;&gt;10000000,  CI$19&gt;=$DW50,    CI$19&lt;=($DX50+$DH$17)  ))   ,$DV50,  "")</f>
        <v/>
      </c>
      <c r="CJ50" s="111" t="str">
        <f aca="false">IF(    OR(   AND($C50=10000000,    $A$17&lt;=CJ$19,      ($A$17+$DH$17)&gt;CJ$19    ),   AND($C50&lt;&gt;10000000,  CJ$19&gt;=$DW50,    CJ$19&lt;=($DX50+$DH$17)  ))   ,$DV50,  "")</f>
        <v/>
      </c>
      <c r="CK50" s="111" t="str">
        <f aca="false">IF(    OR(   AND($C50=10000000,    $A$17&lt;=CK$19,      ($A$17+$DH$17)&gt;CK$19    ),   AND($C50&lt;&gt;10000000,  CK$19&gt;=$DW50,    CK$19&lt;=($DX50+$DH$17)  ))   ,$DV50,  "")</f>
        <v/>
      </c>
      <c r="CL50" s="111" t="str">
        <f aca="false">IF(    OR(   AND($C50=10000000,    $A$17&lt;=CL$19,      ($A$17+$DH$17)&gt;CL$19    ),   AND($C50&lt;&gt;10000000,  CL$19&gt;=$DW50,    CL$19&lt;=($DX50+$DH$17)  ))   ,$DV50,  "")</f>
        <v/>
      </c>
      <c r="CM50" s="111" t="str">
        <f aca="false">IF(    OR(   AND($C50=10000000,    $A$17&lt;=CM$19,      ($A$17+$DH$17)&gt;CM$19    ),   AND($C50&lt;&gt;10000000,  CM$19&gt;=$DW50,    CM$19&lt;=($DX50+$DH$17)  ))   ,$DV50,  "")</f>
        <v/>
      </c>
      <c r="CN50" s="111" t="str">
        <f aca="false">IF(    OR(   AND($C50=10000000,    $A$17&lt;=CN$19,      ($A$17+$DH$17)&gt;CN$19    ),   AND($C50&lt;&gt;10000000,  CN$19&gt;=$DW50,    CN$19&lt;=($DX50+$DH$17)  ))   ,$DV50,  "")</f>
        <v/>
      </c>
      <c r="CO50" s="111" t="str">
        <f aca="false">IF(    OR(   AND($C50=10000000,    $A$17&lt;=CO$19,      ($A$17+$DH$17)&gt;CO$19    ),   AND($C50&lt;&gt;10000000,  CO$19&gt;=$DW50,    CO$19&lt;=($DX50+$DH$17)  ))   ,$DV50,  "")</f>
        <v/>
      </c>
      <c r="CP50" s="111" t="str">
        <f aca="false">IF(    OR(   AND($C50=10000000,    $A$17&lt;=CP$19,      ($A$17+$DH$17)&gt;CP$19    ),   AND($C50&lt;&gt;10000000,  CP$19&gt;=$DW50,    CP$19&lt;=($DX50+$DH$17)  ))   ,$DV50,  "")</f>
        <v/>
      </c>
      <c r="CQ50" s="111" t="str">
        <f aca="false">IF(    OR(   AND($C50=10000000,    $A$17&lt;=CQ$19,      ($A$17+$DH$17)&gt;CQ$19    ),   AND($C50&lt;&gt;10000000,  CQ$19&gt;=$DW50,    CQ$19&lt;=($DX50+$DH$17)  ))   ,$DV50,  "")</f>
        <v/>
      </c>
      <c r="CR50" s="111" t="str">
        <f aca="false">IF(    OR(   AND($C50=10000000,    $A$17&lt;=CR$19,      ($A$17+$DH$17)&gt;CR$19    ),   AND($C50&lt;&gt;10000000,  CR$19&gt;=$DW50,    CR$19&lt;=($DX50+$DH$17)  ))   ,$DV50,  "")</f>
        <v/>
      </c>
      <c r="CS50" s="111" t="str">
        <f aca="false">IF(    OR(   AND($C50=10000000,    $A$17&lt;=CS$19,      ($A$17+$DH$17)&gt;CS$19    ),   AND($C50&lt;&gt;10000000,  CS$19&gt;=$DW50,    CS$19&lt;=($DX50+$DH$17)  ))   ,$DV50,  "")</f>
        <v/>
      </c>
      <c r="CT50" s="111" t="str">
        <f aca="false">IF(    OR(   AND($C50=10000000,    $A$17&lt;=CT$19,      ($A$17+$DH$17)&gt;CT$19    ),   AND($C50&lt;&gt;10000000,  CT$19&gt;=$DW50,    CT$19&lt;=($DX50+$DH$17)  ))   ,$DV50,  "")</f>
        <v/>
      </c>
      <c r="CU50" s="111" t="str">
        <f aca="false">IF(    OR(   AND($C50=10000000,    $A$17&lt;=CU$19,      ($A$17+$DH$17)&gt;CU$19    ),   AND($C50&lt;&gt;10000000,  CU$19&gt;=$DW50,    CU$19&lt;=($DX50+$DH$17)  ))   ,$DV50,  "")</f>
        <v/>
      </c>
      <c r="CV50" s="111" t="str">
        <f aca="false">IF(    OR(   AND($C50=10000000,    $A$17&lt;=CV$19,      ($A$17+$DH$17)&gt;CV$19    ),   AND($C50&lt;&gt;10000000,  CV$19&gt;=$DW50,    CV$19&lt;=($DX50+$DH$17)  ))   ,$DV50,  "")</f>
        <v/>
      </c>
      <c r="CW50" s="111" t="str">
        <f aca="false">IF(    OR(   AND($C50=10000000,    $A$17&lt;=CW$19,      ($A$17+$DH$17)&gt;CW$19    ),   AND($C50&lt;&gt;10000000,  CW$19&gt;=$DW50,    CW$19&lt;=($DX50+$DH$17)  ))   ,$DV50,  "")</f>
        <v/>
      </c>
      <c r="CX50" s="111" t="str">
        <f aca="false">IF(    OR(   AND($C50=10000000,    $A$17&lt;=CX$19,      ($A$17+$DH$17)&gt;CX$19    ),   AND($C50&lt;&gt;10000000,  CX$19&gt;=$DW50,    CX$19&lt;=($DX50+$DH$17)  ))   ,$DV50,  "")</f>
        <v/>
      </c>
      <c r="CY50" s="111" t="str">
        <f aca="false">IF(    OR(   AND($C50=10000000,    $A$17&lt;=CY$19,      ($A$17+$DH$17)&gt;CY$19    ),   AND($C50&lt;&gt;10000000,  CY$19&gt;=$DW50,    CY$19&lt;=($DX50+$DH$17)  ))   ,$DV50,  "")</f>
        <v/>
      </c>
      <c r="CZ50" s="111" t="str">
        <f aca="false">IF(    OR(   AND($C50=10000000,    $A$17&lt;=CZ$19,      ($A$17+$DH$17)&gt;CZ$19    ),   AND($C50&lt;&gt;10000000,  CZ$19&gt;=$DW50,    CZ$19&lt;=($DX50+$DH$17)  ))   ,$DV50,  "")</f>
        <v/>
      </c>
      <c r="DA50" s="111" t="str">
        <f aca="false">IF(    OR(   AND($C50=10000000,    $A$17&lt;=DA$19,      ($A$17+$DH$17)&gt;DA$19    ),   AND($C50&lt;&gt;10000000,  DA$19&gt;=$DW50,    DA$19&lt;=($DX50+$DH$17)  ))   ,$DV50,  "")</f>
        <v/>
      </c>
      <c r="DB50" s="111" t="str">
        <f aca="false">IF(    OR(   AND($C50=10000000,    $A$17&lt;=DB$19,      ($A$17+$DH$17)&gt;DB$19    ),   AND($C50&lt;&gt;10000000,  DB$19&gt;=$DW50,    DB$19&lt;=($DX50+$DH$17)  ))   ,$DV50,  "")</f>
        <v/>
      </c>
      <c r="DC50" s="111" t="str">
        <f aca="false">IF(    OR(   AND($C50=10000000,    $A$17&lt;=DC$19,      ($A$17+$DH$17)&gt;DC$19    ),   AND($C50&lt;&gt;10000000,  DC$19&gt;=$DW50,    DC$19&lt;=($DX50+$DH$17)  ))   ,$DV50,  "")</f>
        <v/>
      </c>
      <c r="DD50" s="111" t="str">
        <f aca="false">IF(    OR(   AND($C50=10000000,    $A$17&lt;=DD$19,      ($A$17+$DH$17)&gt;DD$19    ),   AND($C50&lt;&gt;10000000,  DD$19&gt;=$DW50,    DD$19&lt;=($DX50+$DH$17)  ))   ,$DV50,  "")</f>
        <v/>
      </c>
      <c r="DE50" s="111" t="str">
        <f aca="false">IF(    OR(   AND($C50=10000000,    $A$17&lt;=DE$19,      ($A$17+$DH$17)&gt;DE$19    ),   AND($C50&lt;&gt;10000000,  DE$19&gt;=$DW50,    DE$19&lt;=($DX50+$DH$17)  ))   ,$DV50,  "")</f>
        <v/>
      </c>
      <c r="DF50" s="111" t="str">
        <f aca="false">IF(    OR(   AND($C50=10000000,    $A$17&lt;=DF$19,      ($A$17+$DH$17)&gt;DF$19    ),   AND($C50&lt;&gt;10000000,  DF$19&gt;=$DW50,    DF$19&lt;=($DX50+$DH$17)  ))   ,$DV50,  "")</f>
        <v/>
      </c>
      <c r="DG50" s="111" t="str">
        <f aca="false">IF(    OR(   AND($C50=10000000,    $A$17&lt;=DG$19,      ($A$17+$DH$17)&gt;DG$19    ),   AND($C50&lt;&gt;10000000,  DG$19&gt;=$DW50,    DG$19&lt;=($DX50+$DH$17)  ))   ,$DV50,  "")</f>
        <v/>
      </c>
      <c r="DH50" s="111" t="str">
        <f aca="false">IF(    OR(   AND($C50=10000000,    $A$17&lt;=DH$19,      ($A$17+$DH$17)&gt;DH$19    ),   AND($C50&lt;&gt;10000000,  DH$19&gt;=$DW50,    DH$19&lt;=($DX50+$DH$17)  ))   ,$DV50,  "")</f>
        <v/>
      </c>
      <c r="DI50" s="112" t="str">
        <f aca="false">IF(BB50="","",IF(ISERROR(FIND(CHAR(10),BB50,1)),BB50,LEFT(BB50,FIND(CHAR(10),BB50,1))))</f>
        <v/>
      </c>
      <c r="DJ50" s="53" t="str">
        <f aca="false">IF(BB50="","",IFERROR(RIGHT(BB50,LEN(BB50)-FIND("@@@",SUBSTITUTE(BB50,CHAR(10),"@@@",LEN(BB50)-LEN(SUBSTITUTE(BB50,CHAR(10),""))),1)),BB50))</f>
        <v/>
      </c>
      <c r="DK50" s="53" t="str">
        <f aca="false">IF(BC50="","",IFERROR(RIGHT(BC50,LEN(BC50)-FIND("@@@",SUBSTITUTE(BC50,CHAR(10),"@@@",LEN(BC50)-LEN(SUBSTITUTE(BC50,CHAR(10),""))),1)),BC50))</f>
        <v/>
      </c>
      <c r="DL50" s="113" t="str">
        <f aca="false">IFERROR(DATE(("20"&amp;MID(DI50,7,2))*1,MID(DI50,4,2)*1,MID(DI50,1,2)*1),"none")</f>
        <v>none</v>
      </c>
      <c r="DM50" s="113" t="str">
        <f aca="false">IFERROR(DATE(("20"&amp;MID(DJ50,7,2))*1,MID(DJ50,4,2)*1,MID(DJ50,1,2)*1),"none")</f>
        <v>none</v>
      </c>
      <c r="DN50" s="113" t="n">
        <f aca="false">IF(DL50&lt;&gt;"none",DL50,DATE(1900,1,1))</f>
        <v>2</v>
      </c>
      <c r="DO50" s="113" t="n">
        <f aca="false">IF(DM50&lt;&gt;"none",DM50,DN50)</f>
        <v>2</v>
      </c>
      <c r="DP50" s="114" t="n">
        <f aca="false">_xlfn.DAYS($A$17,DN50)</f>
        <v>45332</v>
      </c>
      <c r="DQ50" s="114" t="n">
        <f aca="false">_xlfn.DAYS($A$17, DO50)</f>
        <v>45332</v>
      </c>
      <c r="DR50" s="51" t="n">
        <f aca="false">IF(DO50&lt;&gt;"",INT(DQ50/7),0)</f>
        <v>6476</v>
      </c>
      <c r="DS50" s="114" t="n">
        <f aca="false">IF(M50="Overdue",_xlfn.DAYS($A$17,AL50),0)</f>
        <v>0</v>
      </c>
      <c r="DT50" s="114" t="n">
        <f aca="false">IF(AH50="Project",_xlfn.DAYS(AL50,$A$17),0)</f>
        <v>0</v>
      </c>
      <c r="DU50" s="51" t="str">
        <f aca="false">IFERROR(INDEX(Static!$D$5:$E$11,MATCH(AH50,Static!$D$5:$D$11,0),2),"")</f>
        <v/>
      </c>
      <c r="DV50" s="51" t="str">
        <f aca="false">IF(C50=10000000,"Red",IF(OR(C50=11000000,C50=12000000),"Black",IF(C50=11100000,"Dark",IF(AND(C50=12100000,M50="Completed"),"Green",IF(AND(C50=12100000,M50="Overdue"),"Red",IF(C50=12100000,"Dark",IF(AND(C50=12110000,M50="Overdue"),"LightRed",IF(AND(C50=12110000,M50="Completed"),"LightGreen",IF(OR(C50=11110000,C50=12110000),"Light",IF(AND(C50=12111000,M50="Overdue"),"SoftRed",IF(AND(C50=12111000,M50="Completed"),"SoftGreen",IF(OR(C50=11111000,C50=12111000),"Grey",""))))))))))))</f>
        <v/>
      </c>
      <c r="DW50" s="49" t="n">
        <f aca="false">IF(AK50&lt;&gt;"",AK50,$BI$19)</f>
        <v>44927</v>
      </c>
      <c r="DX50" s="49" t="n">
        <f aca="false">IF(AL50&lt;&gt;"",AL50,$DH$19)</f>
        <v>45657</v>
      </c>
      <c r="DY50" s="79" t="s">
        <v>450</v>
      </c>
    </row>
    <row r="51" customFormat="false" ht="14.15" hidden="false" customHeight="true" outlineLevel="0" collapsed="false">
      <c r="A51" s="63"/>
      <c r="B51" s="53" t="n">
        <f aca="false">AH51</f>
        <v>0</v>
      </c>
      <c r="C51" s="51" t="n">
        <f aca="false">IFERROR(INDEX(Static!$D$5:$F$11,MATCH(AH51,Static!$D$5:$D$11,0),3),90000000)</f>
        <v>90000000</v>
      </c>
      <c r="D51" s="51" t="str">
        <f aca="false">MID(C51,2,1)</f>
        <v>0</v>
      </c>
      <c r="E51" s="53" t="str">
        <f aca="false">AB51</f>
        <v/>
      </c>
      <c r="F51" s="51" t="str">
        <f aca="false">IF(B51="Venture",0,IF(OR(B51="Project",B51="Stream",B51="Action"),AK51,""))</f>
        <v/>
      </c>
      <c r="G51" s="51" t="n">
        <f aca="false">AS51</f>
        <v>0</v>
      </c>
      <c r="H51" s="51" t="str">
        <f aca="false">IF(B51="Venture",0,IFERROR(INDEX($E$20:$F$55,MATCH(G51,$E$20:$E$55,0),2),""))</f>
        <v/>
      </c>
      <c r="I51" s="51" t="str">
        <f aca="false">IF(B51="Venture",0,IFERROR(INDEX($E$20:$G$55,MATCH(G51,$E$20:$E$55,0),3),""))</f>
        <v/>
      </c>
      <c r="J51" s="51" t="str">
        <f aca="false">IF(B51="Venture",0,IFERROR(INDEX($E$20:$H$55,MATCH(G51,$E$20:$E$55,0),4),""))</f>
        <v/>
      </c>
      <c r="K51" s="51" t="n">
        <f aca="false">IF(B51="Venture",0,IFERROR(INDEX($E$20:$G$55,MATCH(I51,$E$20:$E$55,0),3),""))</f>
        <v>0</v>
      </c>
      <c r="L51" s="51" t="str">
        <f aca="false">IF(M51="Completed","Completed","Ongoing")</f>
        <v>Ongoing</v>
      </c>
      <c r="M51" s="51" t="n">
        <f aca="false">IF(OR(AH51="Venture",AH51="Routine",AH51="Run Goal", AH51="Chg Goal", AH51=""),AH51,IF(AN51&lt;&gt;"","Completed",IF(AM51&lt;&gt;"","Pending",IF(AND(AL51&lt;&gt;"",$A$17&gt;AL51),"Overdue",IF($A$17&gt;AK51,"Started","Open")))))</f>
        <v>0</v>
      </c>
      <c r="N51" s="50" t="n">
        <f aca="false">((LEN($BC51)-LEN(SUBSTITUTE($BC51,CHAR(10)&amp;". ","")))/3)+IF(LEFT(TRIM($BC51),2)=". ",1,0)</f>
        <v>0</v>
      </c>
      <c r="O51" s="50" t="n">
        <f aca="false">((LEN($BC51)-LEN(SUBSTITUTE($BC51,CHAR(10)&amp;"/ ","")))/3)+IF(LEFT(TRIM($BC51),2)="/ ",1,0)</f>
        <v>0</v>
      </c>
      <c r="P51" s="50" t="n">
        <f aca="false">((LEN($BC51)-LEN(SUBSTITUTE($BC51,CHAR(10)&amp;"~ ","")))/3)+IF(LEFT(TRIM($BC51),2)="~ ",1,0)</f>
        <v>0</v>
      </c>
      <c r="Q51" s="50" t="n">
        <f aca="false">((LEN($BC51)-LEN(SUBSTITUTE($BC51,CHAR(10)&amp;"! ","")))/3)+IF(LEFT(TRIM($BC51),2)="! ",1,0)</f>
        <v>0</v>
      </c>
      <c r="R51" s="50" t="n">
        <f aca="false">((LEN($BC51)-LEN(SUBSTITUTE($BC51,CHAR(10)&amp;"x ","")))/3)+IF(LEFT(TRIM($BC51),2)="x ",1,0)</f>
        <v>0</v>
      </c>
      <c r="S51" s="50" t="n">
        <f aca="false">SUM(N51:R51)</f>
        <v>0</v>
      </c>
      <c r="T51" s="51" t="n">
        <f aca="false">IF(OR($B51="Drill",$B51="Action"),$AO51,0)</f>
        <v>0</v>
      </c>
      <c r="U51" s="51" t="n">
        <f aca="false">IF(OR($B51="Sub",$B51="Stream"),$AO51+SUMIFS($AO$20:$AO$55,$G$20:$G$55,$E51),0)</f>
        <v>0</v>
      </c>
      <c r="V51" s="51" t="n">
        <f aca="false">IF(OR($B51="Routine",$B51="Project"),$AO51+SUMIFS($U$20:$U$55,$G$20:$G$55,$E51),0)</f>
        <v>0</v>
      </c>
      <c r="W51" s="51" t="n">
        <f aca="false">IF($B51="Venture",$AO51+SUMIFS($V$20:$V$55,$G$20:$G$55,$E51),0)</f>
        <v>0</v>
      </c>
      <c r="X51" s="51" t="n">
        <f aca="false">IF(OR($B51="Drill",$B51="Action"),$AP51,0)</f>
        <v>0</v>
      </c>
      <c r="Y51" s="51" t="n">
        <f aca="false">IF(OR($B51="Sub",$B51="Stream"),$AP51+SUMIFS($AP$20:$AP$55,$G$20:$G$55,$E51),0)</f>
        <v>0</v>
      </c>
      <c r="Z51" s="51" t="n">
        <f aca="false">IF(OR($B51="Routine",$B51="Project"),$AP51+SUMIFS($Y$20:$Y$55,$G$20:$G$55,$E51),0)</f>
        <v>0</v>
      </c>
      <c r="AA51" s="51" t="n">
        <f aca="false">IF($B51="Venture",$AP51+SUMIFS($Z$20:$Z$55,$G$20:$G$55,$E51),0)</f>
        <v>0</v>
      </c>
      <c r="AB51" s="51" t="str">
        <f aca="false">IF(OR(AH51="Venture", AH51="Run Goal", AH51="Chg Goal"),AI51,AH51&amp;AI51&amp;AR51)</f>
        <v/>
      </c>
      <c r="AC51" s="53" t="str">
        <f aca="false">"  -  "&amp;IF(C51=90000000,9&amp;"Z",D51&amp;AE51&amp;IF(OR(B51="Run Goal",B51="Chg Goal", B51="Venture"),"",IF(OR(B51="Routine",B51="Project"),F51&amp;E51,  IF(OR(B51="Sub",B51="Stream"),H51&amp;G51&amp;F51&amp;E51,IF(OR(B51="Drill",B51="Action"),J51&amp;I51&amp;H51&amp;G51&amp;F51&amp;E51,     "") )    )))</f>
        <v>  -  9Z</v>
      </c>
      <c r="AD51" s="51" t="str">
        <f aca="false">IF(AND(AM51="",AN51=""),"Y","N")</f>
        <v>Y</v>
      </c>
      <c r="AE51" s="103" t="str">
        <f aca="false">IF(OR(AF51="Y",AF51="Y"),AF51,IF(DM51="none","N",IF(DM51&gt;($A$17-WEEKDAY($A$17,2)-(7*$AE$18)),"Y","N")))</f>
        <v>N</v>
      </c>
      <c r="AF51" s="104"/>
      <c r="AG51" s="105"/>
      <c r="AH51" s="79"/>
      <c r="AI51" s="56"/>
      <c r="AJ51" s="56"/>
      <c r="AK51" s="106"/>
      <c r="AL51" s="106"/>
      <c r="AM51" s="106"/>
      <c r="AN51" s="106"/>
      <c r="AO51" s="107"/>
      <c r="AP51" s="107"/>
      <c r="AQ51" s="79"/>
      <c r="AR51" s="79"/>
      <c r="AS51" s="79"/>
      <c r="AT51" s="79"/>
      <c r="AU51" s="79"/>
      <c r="AV51" s="79"/>
      <c r="AW51" s="79"/>
      <c r="AX51" s="79"/>
      <c r="AY51" s="79"/>
      <c r="AZ51" s="79"/>
      <c r="BA51" s="63"/>
      <c r="BB51" s="63"/>
      <c r="BC51" s="63"/>
      <c r="BD51" s="51" t="n">
        <f aca="false">SUM(N51:Q51)</f>
        <v>0</v>
      </c>
      <c r="BE51" s="59" t="n">
        <f aca="false">IF(AI51="",1,IF(S51&lt;&gt;0,(O51*0.5+R51)/S51,1))</f>
        <v>1</v>
      </c>
      <c r="BF51" s="81" t="str">
        <f aca="false">IF(AH51="","",IF(AH51="Venture",W51,IF(OR(AH51="Chg Goal",AH51="RUn Goal"),V51,IF(OR(AH51="ROutine",AH51="Project"),V51,IF(OR(AH51="Sub",AH51="Stream"),U51,IF(OR(AH51="Drill",AH51="Action"),T51,0))))))</f>
        <v/>
      </c>
      <c r="BG51" s="81" t="str">
        <f aca="false">IF(AH51="","",IF(AH51="Venture",AA51,IF(OR(AH51="Chg Goal",AH51="RUn Goal"),Z51,IF(OR(AH51="ROutine",AH51="Project"),Z51,IF(OR(AH51="Sub",AH51="Stream"),Y51,IF(OR(AH51="Drill",AH51="Action"),X51,0))))))</f>
        <v/>
      </c>
      <c r="BH51" s="109" t="str">
        <f aca="false">IF(AI51="","",IF(OR(BF51=0, BF51=""),0,BG51/BF51))</f>
        <v/>
      </c>
      <c r="BI51" s="110" t="str">
        <f aca="false">IF(    OR(   AND($C51=10000000,    BI$19&gt;=$A$17,      BI$19 &lt;($A$17+$DH$17)   ),   AND($C51&lt;&gt;10000000,  BI$19&gt;=$DW51,    BI$19&lt;=($DX51+$DH$17)  ))   ,$DV51,  "")</f>
        <v/>
      </c>
      <c r="BJ51" s="111" t="str">
        <f aca="false">IF(    OR(   AND($C51=10000000,    $A$17&lt;=BJ$19,      ($A$17+$DH$17)&gt;BJ$19    ),   AND($C51&lt;&gt;10000000,  BJ$19&gt;=$DW51,    BJ$19&lt;=($DX51+$DH$17)  ))   ,$DV51,  "")</f>
        <v/>
      </c>
      <c r="BK51" s="111" t="str">
        <f aca="false">IF(    OR(   AND($C51=10000000,    $A$17&lt;=BK$19,      ($A$17+$DH$17)&gt;BK$19    ),   AND($C51&lt;&gt;10000000,  BK$19&gt;=$DW51,    BK$19&lt;=($DX51+$DH$17)  ))   ,$DV51,  "")</f>
        <v/>
      </c>
      <c r="BL51" s="111" t="str">
        <f aca="false">IF(    OR(   AND($C51=10000000,    $A$17&lt;=BL$19,      ($A$17+$DH$17)&gt;BL$19    ),   AND($C51&lt;&gt;10000000,  BL$19&gt;=$DW51,    BL$19&lt;=($DX51+$DH$17)  ))   ,$DV51,  "")</f>
        <v/>
      </c>
      <c r="BM51" s="111" t="str">
        <f aca="false">IF(    OR(   AND($C51=10000000,    $A$17&lt;=BM$19,      ($A$17+$DH$17)&gt;BM$19    ),   AND($C51&lt;&gt;10000000,  BM$19&gt;=$DW51,    BM$19&lt;=($DX51+$DH$17)  ))   ,$DV51,  "")</f>
        <v/>
      </c>
      <c r="BN51" s="111" t="str">
        <f aca="false">IF(    OR(   AND($C51=10000000,    $A$17&lt;=BN$19,      ($A$17+$DH$17)&gt;BN$19    ),   AND($C51&lt;&gt;10000000,  BN$19&gt;=$DW51,    BN$19&lt;=($DX51+$DH$17)  ))   ,$DV51,  "")</f>
        <v/>
      </c>
      <c r="BO51" s="111" t="str">
        <f aca="false">IF(    OR(   AND($C51=10000000,    $A$17&lt;=BO$19,      ($A$17+$DH$17)&gt;BO$19    ),   AND($C51&lt;&gt;10000000,  BO$19&gt;=$DW51,    BO$19&lt;=($DX51+$DH$17)  ))   ,$DV51,  "")</f>
        <v/>
      </c>
      <c r="BP51" s="111" t="str">
        <f aca="false">IF(    OR(   AND($C51=10000000,    $A$17&lt;=BP$19,      ($A$17+$DH$17)&gt;BP$19    ),   AND($C51&lt;&gt;10000000,  BP$19&gt;=$DW51,    BP$19&lt;=($DX51+$DH$17)  ))   ,$DV51,  "")</f>
        <v/>
      </c>
      <c r="BQ51" s="111" t="str">
        <f aca="false">IF(    OR(   AND($C51=10000000,    $A$17&lt;=BQ$19,      ($A$17+$DH$17)&gt;BQ$19    ),   AND($C51&lt;&gt;10000000,  BQ$19&gt;=$DW51,    BQ$19&lt;=($DX51+$DH$17)  ))   ,$DV51,  "")</f>
        <v/>
      </c>
      <c r="BR51" s="111" t="str">
        <f aca="false">IF(    OR(   AND($C51=10000000,    $A$17&lt;=BR$19,      ($A$17+$DH$17)&gt;BR$19    ),   AND($C51&lt;&gt;10000000,  BR$19&gt;=$DW51,    BR$19&lt;=($DX51+$DH$17)  ))   ,$DV51,  "")</f>
        <v/>
      </c>
      <c r="BS51" s="111" t="str">
        <f aca="false">IF(    OR(   AND($C51=10000000,    $A$17&lt;=BS$19,      ($A$17+$DH$17)&gt;BS$19    ),   AND($C51&lt;&gt;10000000,  BS$19&gt;=$DW51,    BS$19&lt;=($DX51+$DH$17)  ))   ,$DV51,  "")</f>
        <v/>
      </c>
      <c r="BT51" s="111" t="str">
        <f aca="false">IF(    OR(   AND($C51=10000000,    $A$17&lt;=BT$19,      ($A$17+$DH$17)&gt;BT$19    ),   AND($C51&lt;&gt;10000000,  BT$19&gt;=$DW51,    BT$19&lt;=($DX51+$DH$17)  ))   ,$DV51,  "")</f>
        <v/>
      </c>
      <c r="BU51" s="111" t="str">
        <f aca="false">IF(    OR(   AND($C51=10000000,    $A$17&lt;=BU$19,      ($A$17+$DH$17)&gt;BU$19    ),   AND($C51&lt;&gt;10000000,  BU$19&gt;=$DW51,    BU$19&lt;=($DX51+$DH$17)  ))   ,$DV51,  "")</f>
        <v/>
      </c>
      <c r="BV51" s="111" t="str">
        <f aca="false">IF(    OR(   AND($C51=10000000,    $A$17&lt;=BV$19,      ($A$17+$DH$17)&gt;BV$19    ),   AND($C51&lt;&gt;10000000,  BV$19&gt;=$DW51,    BV$19&lt;=($DX51+$DH$17)  ))   ,$DV51,  "")</f>
        <v/>
      </c>
      <c r="BW51" s="111" t="str">
        <f aca="false">IF(    OR(   AND($C51=10000000,    $A$17&lt;=BW$19,      ($A$17+$DH$17)&gt;BW$19    ),   AND($C51&lt;&gt;10000000,  BW$19&gt;=$DW51,    BW$19&lt;=($DX51+$DH$17)  ))   ,$DV51,  "")</f>
        <v/>
      </c>
      <c r="BX51" s="111" t="str">
        <f aca="false">IF(    OR(   AND($C51=10000000,    $A$17&lt;=BX$19,      ($A$17+$DH$17)&gt;BX$19    ),   AND($C51&lt;&gt;10000000,  BX$19&gt;=$DW51,    BX$19&lt;=($DX51+$DH$17)  ))   ,$DV51,  "")</f>
        <v/>
      </c>
      <c r="BY51" s="111" t="str">
        <f aca="false">IF(    OR(   AND($C51=10000000,    $A$17&lt;=BY$19,      ($A$17+$DH$17)&gt;BY$19    ),   AND($C51&lt;&gt;10000000,  BY$19&gt;=$DW51,    BY$19&lt;=($DX51+$DH$17)  ))   ,$DV51,  "")</f>
        <v/>
      </c>
      <c r="BZ51" s="111" t="str">
        <f aca="false">IF(    OR(   AND($C51=10000000,    $A$17&lt;=BZ$19,      ($A$17+$DH$17)&gt;BZ$19    ),   AND($C51&lt;&gt;10000000,  BZ$19&gt;=$DW51,    BZ$19&lt;=($DX51+$DH$17)  ))   ,$DV51,  "")</f>
        <v/>
      </c>
      <c r="CA51" s="111" t="str">
        <f aca="false">IF(    OR(   AND($C51=10000000,    $A$17&lt;=CA$19,      ($A$17+$DH$17)&gt;CA$19    ),   AND($C51&lt;&gt;10000000,  CA$19&gt;=$DW51,    CA$19&lt;=($DX51+$DH$17)  ))   ,$DV51,  "")</f>
        <v/>
      </c>
      <c r="CB51" s="111" t="str">
        <f aca="false">IF(    OR(   AND($C51=10000000,    $A$17&lt;=CB$19,      ($A$17+$DH$17)&gt;CB$19    ),   AND($C51&lt;&gt;10000000,  CB$19&gt;=$DW51,    CB$19&lt;=($DX51+$DH$17)  ))   ,$DV51,  "")</f>
        <v/>
      </c>
      <c r="CC51" s="111" t="str">
        <f aca="false">IF(    OR(   AND($C51=10000000,    $A$17&lt;=CC$19,      ($A$17+$DH$17)&gt;CC$19    ),   AND($C51&lt;&gt;10000000,  CC$19&gt;=$DW51,    CC$19&lt;=($DX51+$DH$17)  ))   ,$DV51,  "")</f>
        <v/>
      </c>
      <c r="CD51" s="111" t="str">
        <f aca="false">IF(    OR(   AND($C51=10000000,    $A$17&lt;=CD$19,      ($A$17+$DH$17)&gt;CD$19    ),   AND($C51&lt;&gt;10000000,  CD$19&gt;=$DW51,    CD$19&lt;=($DX51+$DH$17)  ))   ,$DV51,  "")</f>
        <v/>
      </c>
      <c r="CE51" s="111" t="str">
        <f aca="false">IF(    OR(   AND($C51=10000000,    $A$17&lt;=CE$19,      ($A$17+$DH$17)&gt;CE$19    ),   AND($C51&lt;&gt;10000000,  CE$19&gt;=$DW51,    CE$19&lt;=($DX51+$DH$17)  ))   ,$DV51,  "")</f>
        <v/>
      </c>
      <c r="CF51" s="111" t="str">
        <f aca="false">IF(    OR(   AND($C51=10000000,    $A$17&lt;=CF$19,      ($A$17+$DH$17)&gt;CF$19    ),   AND($C51&lt;&gt;10000000,  CF$19&gt;=$DW51,    CF$19&lt;=($DX51+$DH$17)  ))   ,$DV51,  "")</f>
        <v/>
      </c>
      <c r="CG51" s="111" t="str">
        <f aca="false">IF(    OR(   AND($C51=10000000,    $A$17&lt;=CG$19,      ($A$17+$DH$17)&gt;CG$19    ),   AND($C51&lt;&gt;10000000,  CG$19&gt;=$DW51,    CG$19&lt;=($DX51+$DH$17)  ))   ,$DV51,  "")</f>
        <v/>
      </c>
      <c r="CH51" s="111" t="str">
        <f aca="false">IF(    OR(   AND($C51=10000000,    $A$17&lt;=CH$19,      ($A$17+$DH$17)&gt;CH$19    ),   AND($C51&lt;&gt;10000000,  CH$19&gt;=$DW51,    CH$19&lt;=($DX51+$DH$17)  ))   ,$DV51,  "")</f>
        <v/>
      </c>
      <c r="CI51" s="111" t="str">
        <f aca="false">IF(    OR(   AND($C51=10000000,    $A$17&lt;=CI$19,      ($A$17+$DH$17)&gt;CI$19    ),   AND($C51&lt;&gt;10000000,  CI$19&gt;=$DW51,    CI$19&lt;=($DX51+$DH$17)  ))   ,$DV51,  "")</f>
        <v/>
      </c>
      <c r="CJ51" s="111" t="str">
        <f aca="false">IF(    OR(   AND($C51=10000000,    $A$17&lt;=CJ$19,      ($A$17+$DH$17)&gt;CJ$19    ),   AND($C51&lt;&gt;10000000,  CJ$19&gt;=$DW51,    CJ$19&lt;=($DX51+$DH$17)  ))   ,$DV51,  "")</f>
        <v/>
      </c>
      <c r="CK51" s="111" t="str">
        <f aca="false">IF(    OR(   AND($C51=10000000,    $A$17&lt;=CK$19,      ($A$17+$DH$17)&gt;CK$19    ),   AND($C51&lt;&gt;10000000,  CK$19&gt;=$DW51,    CK$19&lt;=($DX51+$DH$17)  ))   ,$DV51,  "")</f>
        <v/>
      </c>
      <c r="CL51" s="111" t="str">
        <f aca="false">IF(    OR(   AND($C51=10000000,    $A$17&lt;=CL$19,      ($A$17+$DH$17)&gt;CL$19    ),   AND($C51&lt;&gt;10000000,  CL$19&gt;=$DW51,    CL$19&lt;=($DX51+$DH$17)  ))   ,$DV51,  "")</f>
        <v/>
      </c>
      <c r="CM51" s="111" t="str">
        <f aca="false">IF(    OR(   AND($C51=10000000,    $A$17&lt;=CM$19,      ($A$17+$DH$17)&gt;CM$19    ),   AND($C51&lt;&gt;10000000,  CM$19&gt;=$DW51,    CM$19&lt;=($DX51+$DH$17)  ))   ,$DV51,  "")</f>
        <v/>
      </c>
      <c r="CN51" s="111" t="str">
        <f aca="false">IF(    OR(   AND($C51=10000000,    $A$17&lt;=CN$19,      ($A$17+$DH$17)&gt;CN$19    ),   AND($C51&lt;&gt;10000000,  CN$19&gt;=$DW51,    CN$19&lt;=($DX51+$DH$17)  ))   ,$DV51,  "")</f>
        <v/>
      </c>
      <c r="CO51" s="111" t="str">
        <f aca="false">IF(    OR(   AND($C51=10000000,    $A$17&lt;=CO$19,      ($A$17+$DH$17)&gt;CO$19    ),   AND($C51&lt;&gt;10000000,  CO$19&gt;=$DW51,    CO$19&lt;=($DX51+$DH$17)  ))   ,$DV51,  "")</f>
        <v/>
      </c>
      <c r="CP51" s="111" t="str">
        <f aca="false">IF(    OR(   AND($C51=10000000,    $A$17&lt;=CP$19,      ($A$17+$DH$17)&gt;CP$19    ),   AND($C51&lt;&gt;10000000,  CP$19&gt;=$DW51,    CP$19&lt;=($DX51+$DH$17)  ))   ,$DV51,  "")</f>
        <v/>
      </c>
      <c r="CQ51" s="111" t="str">
        <f aca="false">IF(    OR(   AND($C51=10000000,    $A$17&lt;=CQ$19,      ($A$17+$DH$17)&gt;CQ$19    ),   AND($C51&lt;&gt;10000000,  CQ$19&gt;=$DW51,    CQ$19&lt;=($DX51+$DH$17)  ))   ,$DV51,  "")</f>
        <v/>
      </c>
      <c r="CR51" s="111" t="str">
        <f aca="false">IF(    OR(   AND($C51=10000000,    $A$17&lt;=CR$19,      ($A$17+$DH$17)&gt;CR$19    ),   AND($C51&lt;&gt;10000000,  CR$19&gt;=$DW51,    CR$19&lt;=($DX51+$DH$17)  ))   ,$DV51,  "")</f>
        <v/>
      </c>
      <c r="CS51" s="111" t="str">
        <f aca="false">IF(    OR(   AND($C51=10000000,    $A$17&lt;=CS$19,      ($A$17+$DH$17)&gt;CS$19    ),   AND($C51&lt;&gt;10000000,  CS$19&gt;=$DW51,    CS$19&lt;=($DX51+$DH$17)  ))   ,$DV51,  "")</f>
        <v/>
      </c>
      <c r="CT51" s="111" t="str">
        <f aca="false">IF(    OR(   AND($C51=10000000,    $A$17&lt;=CT$19,      ($A$17+$DH$17)&gt;CT$19    ),   AND($C51&lt;&gt;10000000,  CT$19&gt;=$DW51,    CT$19&lt;=($DX51+$DH$17)  ))   ,$DV51,  "")</f>
        <v/>
      </c>
      <c r="CU51" s="111" t="str">
        <f aca="false">IF(    OR(   AND($C51=10000000,    $A$17&lt;=CU$19,      ($A$17+$DH$17)&gt;CU$19    ),   AND($C51&lt;&gt;10000000,  CU$19&gt;=$DW51,    CU$19&lt;=($DX51+$DH$17)  ))   ,$DV51,  "")</f>
        <v/>
      </c>
      <c r="CV51" s="111" t="str">
        <f aca="false">IF(    OR(   AND($C51=10000000,    $A$17&lt;=CV$19,      ($A$17+$DH$17)&gt;CV$19    ),   AND($C51&lt;&gt;10000000,  CV$19&gt;=$DW51,    CV$19&lt;=($DX51+$DH$17)  ))   ,$DV51,  "")</f>
        <v/>
      </c>
      <c r="CW51" s="111" t="str">
        <f aca="false">IF(    OR(   AND($C51=10000000,    $A$17&lt;=CW$19,      ($A$17+$DH$17)&gt;CW$19    ),   AND($C51&lt;&gt;10000000,  CW$19&gt;=$DW51,    CW$19&lt;=($DX51+$DH$17)  ))   ,$DV51,  "")</f>
        <v/>
      </c>
      <c r="CX51" s="111" t="str">
        <f aca="false">IF(    OR(   AND($C51=10000000,    $A$17&lt;=CX$19,      ($A$17+$DH$17)&gt;CX$19    ),   AND($C51&lt;&gt;10000000,  CX$19&gt;=$DW51,    CX$19&lt;=($DX51+$DH$17)  ))   ,$DV51,  "")</f>
        <v/>
      </c>
      <c r="CY51" s="111" t="str">
        <f aca="false">IF(    OR(   AND($C51=10000000,    $A$17&lt;=CY$19,      ($A$17+$DH$17)&gt;CY$19    ),   AND($C51&lt;&gt;10000000,  CY$19&gt;=$DW51,    CY$19&lt;=($DX51+$DH$17)  ))   ,$DV51,  "")</f>
        <v/>
      </c>
      <c r="CZ51" s="111" t="str">
        <f aca="false">IF(    OR(   AND($C51=10000000,    $A$17&lt;=CZ$19,      ($A$17+$DH$17)&gt;CZ$19    ),   AND($C51&lt;&gt;10000000,  CZ$19&gt;=$DW51,    CZ$19&lt;=($DX51+$DH$17)  ))   ,$DV51,  "")</f>
        <v/>
      </c>
      <c r="DA51" s="111" t="str">
        <f aca="false">IF(    OR(   AND($C51=10000000,    $A$17&lt;=DA$19,      ($A$17+$DH$17)&gt;DA$19    ),   AND($C51&lt;&gt;10000000,  DA$19&gt;=$DW51,    DA$19&lt;=($DX51+$DH$17)  ))   ,$DV51,  "")</f>
        <v/>
      </c>
      <c r="DB51" s="111" t="str">
        <f aca="false">IF(    OR(   AND($C51=10000000,    $A$17&lt;=DB$19,      ($A$17+$DH$17)&gt;DB$19    ),   AND($C51&lt;&gt;10000000,  DB$19&gt;=$DW51,    DB$19&lt;=($DX51+$DH$17)  ))   ,$DV51,  "")</f>
        <v/>
      </c>
      <c r="DC51" s="111" t="str">
        <f aca="false">IF(    OR(   AND($C51=10000000,    $A$17&lt;=DC$19,      ($A$17+$DH$17)&gt;DC$19    ),   AND($C51&lt;&gt;10000000,  DC$19&gt;=$DW51,    DC$19&lt;=($DX51+$DH$17)  ))   ,$DV51,  "")</f>
        <v/>
      </c>
      <c r="DD51" s="111" t="str">
        <f aca="false">IF(    OR(   AND($C51=10000000,    $A$17&lt;=DD$19,      ($A$17+$DH$17)&gt;DD$19    ),   AND($C51&lt;&gt;10000000,  DD$19&gt;=$DW51,    DD$19&lt;=($DX51+$DH$17)  ))   ,$DV51,  "")</f>
        <v/>
      </c>
      <c r="DE51" s="111" t="str">
        <f aca="false">IF(    OR(   AND($C51=10000000,    $A$17&lt;=DE$19,      ($A$17+$DH$17)&gt;DE$19    ),   AND($C51&lt;&gt;10000000,  DE$19&gt;=$DW51,    DE$19&lt;=($DX51+$DH$17)  ))   ,$DV51,  "")</f>
        <v/>
      </c>
      <c r="DF51" s="111" t="str">
        <f aca="false">IF(    OR(   AND($C51=10000000,    $A$17&lt;=DF$19,      ($A$17+$DH$17)&gt;DF$19    ),   AND($C51&lt;&gt;10000000,  DF$19&gt;=$DW51,    DF$19&lt;=($DX51+$DH$17)  ))   ,$DV51,  "")</f>
        <v/>
      </c>
      <c r="DG51" s="111" t="str">
        <f aca="false">IF(    OR(   AND($C51=10000000,    $A$17&lt;=DG$19,      ($A$17+$DH$17)&gt;DG$19    ),   AND($C51&lt;&gt;10000000,  DG$19&gt;=$DW51,    DG$19&lt;=($DX51+$DH$17)  ))   ,$DV51,  "")</f>
        <v/>
      </c>
      <c r="DH51" s="111" t="str">
        <f aca="false">IF(    OR(   AND($C51=10000000,    $A$17&lt;=DH$19,      ($A$17+$DH$17)&gt;DH$19    ),   AND($C51&lt;&gt;10000000,  DH$19&gt;=$DW51,    DH$19&lt;=($DX51+$DH$17)  ))   ,$DV51,  "")</f>
        <v/>
      </c>
      <c r="DI51" s="112" t="str">
        <f aca="false">IF(BB51="","",IF(ISERROR(FIND(CHAR(10),BB51,1)),BB51,LEFT(BB51,FIND(CHAR(10),BB51,1))))</f>
        <v/>
      </c>
      <c r="DJ51" s="53" t="str">
        <f aca="false">IF(BB51="","",IFERROR(RIGHT(BB51,LEN(BB51)-FIND("@@@",SUBSTITUTE(BB51,CHAR(10),"@@@",LEN(BB51)-LEN(SUBSTITUTE(BB51,CHAR(10),""))),1)),BB51))</f>
        <v/>
      </c>
      <c r="DK51" s="53" t="str">
        <f aca="false">IF(BC51="","",IFERROR(RIGHT(BC51,LEN(BC51)-FIND("@@@",SUBSTITUTE(BC51,CHAR(10),"@@@",LEN(BC51)-LEN(SUBSTITUTE(BC51,CHAR(10),""))),1)),BC51))</f>
        <v/>
      </c>
      <c r="DL51" s="113" t="str">
        <f aca="false">IFERROR(DATE(("20"&amp;MID(DI51,7,2))*1,MID(DI51,4,2)*1,MID(DI51,1,2)*1),"none")</f>
        <v>none</v>
      </c>
      <c r="DM51" s="113" t="str">
        <f aca="false">IFERROR(DATE(("20"&amp;MID(DJ51,7,2))*1,MID(DJ51,4,2)*1,MID(DJ51,1,2)*1),"none")</f>
        <v>none</v>
      </c>
      <c r="DN51" s="113" t="n">
        <f aca="false">IF(DL51&lt;&gt;"none",DL51,DATE(1900,1,1))</f>
        <v>2</v>
      </c>
      <c r="DO51" s="113" t="n">
        <f aca="false">IF(DM51&lt;&gt;"none",DM51,DN51)</f>
        <v>2</v>
      </c>
      <c r="DP51" s="114" t="n">
        <f aca="false">_xlfn.DAYS($A$17,DN51)</f>
        <v>45332</v>
      </c>
      <c r="DQ51" s="114" t="n">
        <f aca="false">_xlfn.DAYS($A$17, DO51)</f>
        <v>45332</v>
      </c>
      <c r="DR51" s="51" t="n">
        <f aca="false">IF(DO51&lt;&gt;"",INT(DQ51/7),0)</f>
        <v>6476</v>
      </c>
      <c r="DS51" s="114" t="n">
        <f aca="false">IF(M51="Overdue",_xlfn.DAYS($A$17,AL51),0)</f>
        <v>0</v>
      </c>
      <c r="DT51" s="114" t="n">
        <f aca="false">IF(AH51="Project",_xlfn.DAYS(AL51,$A$17),0)</f>
        <v>0</v>
      </c>
      <c r="DU51" s="51" t="str">
        <f aca="false">IFERROR(INDEX(Static!$D$5:$E$11,MATCH(AH51,Static!$D$5:$D$11,0),2),"")</f>
        <v/>
      </c>
      <c r="DV51" s="51" t="str">
        <f aca="false">IF(C51=10000000,"Red",IF(OR(C51=11000000,C51=12000000),"Black",IF(C51=11100000,"Dark",IF(AND(C51=12100000,M51="Completed"),"Green",IF(AND(C51=12100000,M51="Overdue"),"Red",IF(C51=12100000,"Dark",IF(AND(C51=12110000,M51="Overdue"),"LightRed",IF(AND(C51=12110000,M51="Completed"),"LightGreen",IF(OR(C51=11110000,C51=12110000),"Light",IF(AND(C51=12111000,M51="Overdue"),"SoftRed",IF(AND(C51=12111000,M51="Completed"),"SoftGreen",IF(OR(C51=11111000,C51=12111000),"Grey",""))))))))))))</f>
        <v/>
      </c>
      <c r="DW51" s="49" t="n">
        <f aca="false">IF(AK51&lt;&gt;"",AK51,$BI$19)</f>
        <v>44927</v>
      </c>
      <c r="DX51" s="49" t="n">
        <f aca="false">IF(AL51&lt;&gt;"",AL51,$DH$19)</f>
        <v>45657</v>
      </c>
      <c r="DY51" s="79" t="s">
        <v>450</v>
      </c>
    </row>
    <row r="52" customFormat="false" ht="14.15" hidden="false" customHeight="true" outlineLevel="0" collapsed="false">
      <c r="A52" s="63"/>
      <c r="B52" s="53" t="n">
        <f aca="false">AH52</f>
        <v>0</v>
      </c>
      <c r="C52" s="51" t="n">
        <f aca="false">IFERROR(INDEX(Static!$D$5:$F$11,MATCH(AH52,Static!$D$5:$D$11,0),3),90000000)</f>
        <v>90000000</v>
      </c>
      <c r="D52" s="51" t="str">
        <f aca="false">MID(C52,2,1)</f>
        <v>0</v>
      </c>
      <c r="E52" s="53" t="str">
        <f aca="false">AB52</f>
        <v/>
      </c>
      <c r="F52" s="51" t="str">
        <f aca="false">IF(B52="Venture",0,IF(OR(B52="Project",B52="Stream",B52="Action"),AK52,""))</f>
        <v/>
      </c>
      <c r="G52" s="51" t="n">
        <f aca="false">AS52</f>
        <v>0</v>
      </c>
      <c r="H52" s="51" t="str">
        <f aca="false">IF(B52="Venture",0,IFERROR(INDEX($E$20:$F$55,MATCH(G52,$E$20:$E$55,0),2),""))</f>
        <v/>
      </c>
      <c r="I52" s="51" t="str">
        <f aca="false">IF(B52="Venture",0,IFERROR(INDEX($E$20:$G$55,MATCH(G52,$E$20:$E$55,0),3),""))</f>
        <v/>
      </c>
      <c r="J52" s="51" t="str">
        <f aca="false">IF(B52="Venture",0,IFERROR(INDEX($E$20:$H$55,MATCH(G52,$E$20:$E$55,0),4),""))</f>
        <v/>
      </c>
      <c r="K52" s="51" t="n">
        <f aca="false">IF(B52="Venture",0,IFERROR(INDEX($E$20:$G$55,MATCH(I52,$E$20:$E$55,0),3),""))</f>
        <v>0</v>
      </c>
      <c r="L52" s="51" t="str">
        <f aca="false">IF(M52="Completed","Completed","Ongoing")</f>
        <v>Ongoing</v>
      </c>
      <c r="M52" s="51" t="n">
        <f aca="false">IF(OR(AH52="Venture",AH52="Routine",AH52="Run Goal", AH52="Chg Goal", AH52=""),AH52,IF(AN52&lt;&gt;"","Completed",IF(AM52&lt;&gt;"","Pending",IF(AND(AL52&lt;&gt;"",$A$17&gt;AL52),"Overdue",IF($A$17&gt;AK52,"Started","Open")))))</f>
        <v>0</v>
      </c>
      <c r="N52" s="50" t="n">
        <f aca="false">((LEN($BC52)-LEN(SUBSTITUTE($BC52,CHAR(10)&amp;". ","")))/3)+IF(LEFT(TRIM($BC52),2)=". ",1,0)</f>
        <v>0</v>
      </c>
      <c r="O52" s="50" t="n">
        <f aca="false">((LEN($BC52)-LEN(SUBSTITUTE($BC52,CHAR(10)&amp;"/ ","")))/3)+IF(LEFT(TRIM($BC52),2)="/ ",1,0)</f>
        <v>0</v>
      </c>
      <c r="P52" s="50" t="n">
        <f aca="false">((LEN($BC52)-LEN(SUBSTITUTE($BC52,CHAR(10)&amp;"~ ","")))/3)+IF(LEFT(TRIM($BC52),2)="~ ",1,0)</f>
        <v>0</v>
      </c>
      <c r="Q52" s="50" t="n">
        <f aca="false">((LEN($BC52)-LEN(SUBSTITUTE($BC52,CHAR(10)&amp;"! ","")))/3)+IF(LEFT(TRIM($BC52),2)="! ",1,0)</f>
        <v>0</v>
      </c>
      <c r="R52" s="50" t="n">
        <f aca="false">((LEN($BC52)-LEN(SUBSTITUTE($BC52,CHAR(10)&amp;"x ","")))/3)+IF(LEFT(TRIM($BC52),2)="x ",1,0)</f>
        <v>0</v>
      </c>
      <c r="S52" s="50" t="n">
        <f aca="false">SUM(N52:R52)</f>
        <v>0</v>
      </c>
      <c r="T52" s="51" t="n">
        <f aca="false">IF(OR($B52="Drill",$B52="Action"),$AO52,0)</f>
        <v>0</v>
      </c>
      <c r="U52" s="51" t="n">
        <f aca="false">IF(OR($B52="Sub",$B52="Stream"),$AO52+SUMIFS($AO$20:$AO$55,$G$20:$G$55,$E52),0)</f>
        <v>0</v>
      </c>
      <c r="V52" s="51" t="n">
        <f aca="false">IF(OR($B52="Routine",$B52="Project"),$AO52+SUMIFS($U$20:$U$55,$G$20:$G$55,$E52),0)</f>
        <v>0</v>
      </c>
      <c r="W52" s="51" t="n">
        <f aca="false">IF($B52="Venture",$AO52+SUMIFS($V$20:$V$55,$G$20:$G$55,$E52),0)</f>
        <v>0</v>
      </c>
      <c r="X52" s="51" t="n">
        <f aca="false">IF(OR($B52="Drill",$B52="Action"),$AP52,0)</f>
        <v>0</v>
      </c>
      <c r="Y52" s="51" t="n">
        <f aca="false">IF(OR($B52="Sub",$B52="Stream"),$AP52+SUMIFS($AP$20:$AP$55,$G$20:$G$55,$E52),0)</f>
        <v>0</v>
      </c>
      <c r="Z52" s="51" t="n">
        <f aca="false">IF(OR($B52="Routine",$B52="Project"),$AP52+SUMIFS($Y$20:$Y$55,$G$20:$G$55,$E52),0)</f>
        <v>0</v>
      </c>
      <c r="AA52" s="51" t="n">
        <f aca="false">IF($B52="Venture",$AP52+SUMIFS($Z$20:$Z$55,$G$20:$G$55,$E52),0)</f>
        <v>0</v>
      </c>
      <c r="AB52" s="51" t="str">
        <f aca="false">IF(OR(AH52="Venture", AH52="Run Goal", AH52="Chg Goal"),AI52,AH52&amp;AI52&amp;AR52)</f>
        <v/>
      </c>
      <c r="AC52" s="53" t="str">
        <f aca="false">"  -  "&amp;IF(C52=90000000,9&amp;"Z",D52&amp;AE52&amp;IF(OR(B52="Run Goal",B52="Chg Goal", B52="Venture"),"",IF(OR(B52="Routine",B52="Project"),F52&amp;E52,  IF(OR(B52="Sub",B52="Stream"),H52&amp;G52&amp;F52&amp;E52,IF(OR(B52="Drill",B52="Action"),J52&amp;I52&amp;H52&amp;G52&amp;F52&amp;E52,     "") )    )))</f>
        <v>  -  9Z</v>
      </c>
      <c r="AD52" s="51" t="str">
        <f aca="false">IF(AND(AM52="",AN52=""),"Y","N")</f>
        <v>Y</v>
      </c>
      <c r="AE52" s="103" t="str">
        <f aca="false">IF(OR(AF52="Y",AF52="Y"),AF52,IF(DM52="none","N",IF(DM52&gt;($A$17-WEEKDAY($A$17,2)-(7*$AE$18)),"Y","N")))</f>
        <v>N</v>
      </c>
      <c r="AF52" s="104"/>
      <c r="AG52" s="105"/>
      <c r="AH52" s="79"/>
      <c r="AI52" s="56"/>
      <c r="AJ52" s="56"/>
      <c r="AK52" s="106"/>
      <c r="AL52" s="106"/>
      <c r="AM52" s="106"/>
      <c r="AN52" s="106"/>
      <c r="AO52" s="107"/>
      <c r="AP52" s="107"/>
      <c r="AQ52" s="79"/>
      <c r="AR52" s="79"/>
      <c r="AS52" s="79"/>
      <c r="AT52" s="79"/>
      <c r="AU52" s="79"/>
      <c r="AV52" s="79"/>
      <c r="AW52" s="79"/>
      <c r="AX52" s="79"/>
      <c r="AY52" s="79"/>
      <c r="AZ52" s="79"/>
      <c r="BA52" s="63"/>
      <c r="BB52" s="63"/>
      <c r="BC52" s="63"/>
      <c r="BD52" s="51" t="n">
        <f aca="false">SUM(N52:Q52)</f>
        <v>0</v>
      </c>
      <c r="BE52" s="59" t="n">
        <f aca="false">IF(AI52="",1,IF(S52&lt;&gt;0,(O52*0.5+R52)/S52,1))</f>
        <v>1</v>
      </c>
      <c r="BF52" s="81" t="str">
        <f aca="false">IF(AH52="","",IF(AH52="Venture",W52,IF(OR(AH52="Chg Goal",AH52="RUn Goal"),V52,IF(OR(AH52="ROutine",AH52="Project"),V52,IF(OR(AH52="Sub",AH52="Stream"),U52,IF(OR(AH52="Drill",AH52="Action"),T52,0))))))</f>
        <v/>
      </c>
      <c r="BG52" s="81" t="str">
        <f aca="false">IF(AH52="","",IF(AH52="Venture",AA52,IF(OR(AH52="Chg Goal",AH52="RUn Goal"),Z52,IF(OR(AH52="ROutine",AH52="Project"),Z52,IF(OR(AH52="Sub",AH52="Stream"),Y52,IF(OR(AH52="Drill",AH52="Action"),X52,0))))))</f>
        <v/>
      </c>
      <c r="BH52" s="109" t="str">
        <f aca="false">IF(AI52="","",IF(OR(BF52=0, BF52=""),0,BG52/BF52))</f>
        <v/>
      </c>
      <c r="BI52" s="110" t="str">
        <f aca="false">IF(    OR(   AND($C52=10000000,    BI$19&gt;=$A$17,      BI$19 &lt;($A$17+$DH$17)   ),   AND($C52&lt;&gt;10000000,  BI$19&gt;=$DW52,    BI$19&lt;=($DX52+$DH$17)  ))   ,$DV52,  "")</f>
        <v/>
      </c>
      <c r="BJ52" s="111" t="str">
        <f aca="false">IF(    OR(   AND($C52=10000000,    $A$17&lt;=BJ$19,      ($A$17+$DH$17)&gt;BJ$19    ),   AND($C52&lt;&gt;10000000,  BJ$19&gt;=$DW52,    BJ$19&lt;=($DX52+$DH$17)  ))   ,$DV52,  "")</f>
        <v/>
      </c>
      <c r="BK52" s="111" t="str">
        <f aca="false">IF(    OR(   AND($C52=10000000,    $A$17&lt;=BK$19,      ($A$17+$DH$17)&gt;BK$19    ),   AND($C52&lt;&gt;10000000,  BK$19&gt;=$DW52,    BK$19&lt;=($DX52+$DH$17)  ))   ,$DV52,  "")</f>
        <v/>
      </c>
      <c r="BL52" s="111" t="str">
        <f aca="false">IF(    OR(   AND($C52=10000000,    $A$17&lt;=BL$19,      ($A$17+$DH$17)&gt;BL$19    ),   AND($C52&lt;&gt;10000000,  BL$19&gt;=$DW52,    BL$19&lt;=($DX52+$DH$17)  ))   ,$DV52,  "")</f>
        <v/>
      </c>
      <c r="BM52" s="111" t="str">
        <f aca="false">IF(    OR(   AND($C52=10000000,    $A$17&lt;=BM$19,      ($A$17+$DH$17)&gt;BM$19    ),   AND($C52&lt;&gt;10000000,  BM$19&gt;=$DW52,    BM$19&lt;=($DX52+$DH$17)  ))   ,$DV52,  "")</f>
        <v/>
      </c>
      <c r="BN52" s="111" t="str">
        <f aca="false">IF(    OR(   AND($C52=10000000,    $A$17&lt;=BN$19,      ($A$17+$DH$17)&gt;BN$19    ),   AND($C52&lt;&gt;10000000,  BN$19&gt;=$DW52,    BN$19&lt;=($DX52+$DH$17)  ))   ,$DV52,  "")</f>
        <v/>
      </c>
      <c r="BO52" s="111" t="str">
        <f aca="false">IF(    OR(   AND($C52=10000000,    $A$17&lt;=BO$19,      ($A$17+$DH$17)&gt;BO$19    ),   AND($C52&lt;&gt;10000000,  BO$19&gt;=$DW52,    BO$19&lt;=($DX52+$DH$17)  ))   ,$DV52,  "")</f>
        <v/>
      </c>
      <c r="BP52" s="111" t="str">
        <f aca="false">IF(    OR(   AND($C52=10000000,    $A$17&lt;=BP$19,      ($A$17+$DH$17)&gt;BP$19    ),   AND($C52&lt;&gt;10000000,  BP$19&gt;=$DW52,    BP$19&lt;=($DX52+$DH$17)  ))   ,$DV52,  "")</f>
        <v/>
      </c>
      <c r="BQ52" s="111" t="str">
        <f aca="false">IF(    OR(   AND($C52=10000000,    $A$17&lt;=BQ$19,      ($A$17+$DH$17)&gt;BQ$19    ),   AND($C52&lt;&gt;10000000,  BQ$19&gt;=$DW52,    BQ$19&lt;=($DX52+$DH$17)  ))   ,$DV52,  "")</f>
        <v/>
      </c>
      <c r="BR52" s="111" t="str">
        <f aca="false">IF(    OR(   AND($C52=10000000,    $A$17&lt;=BR$19,      ($A$17+$DH$17)&gt;BR$19    ),   AND($C52&lt;&gt;10000000,  BR$19&gt;=$DW52,    BR$19&lt;=($DX52+$DH$17)  ))   ,$DV52,  "")</f>
        <v/>
      </c>
      <c r="BS52" s="111" t="str">
        <f aca="false">IF(    OR(   AND($C52=10000000,    $A$17&lt;=BS$19,      ($A$17+$DH$17)&gt;BS$19    ),   AND($C52&lt;&gt;10000000,  BS$19&gt;=$DW52,    BS$19&lt;=($DX52+$DH$17)  ))   ,$DV52,  "")</f>
        <v/>
      </c>
      <c r="BT52" s="111" t="str">
        <f aca="false">IF(    OR(   AND($C52=10000000,    $A$17&lt;=BT$19,      ($A$17+$DH$17)&gt;BT$19    ),   AND($C52&lt;&gt;10000000,  BT$19&gt;=$DW52,    BT$19&lt;=($DX52+$DH$17)  ))   ,$DV52,  "")</f>
        <v/>
      </c>
      <c r="BU52" s="111" t="str">
        <f aca="false">IF(    OR(   AND($C52=10000000,    $A$17&lt;=BU$19,      ($A$17+$DH$17)&gt;BU$19    ),   AND($C52&lt;&gt;10000000,  BU$19&gt;=$DW52,    BU$19&lt;=($DX52+$DH$17)  ))   ,$DV52,  "")</f>
        <v/>
      </c>
      <c r="BV52" s="111" t="str">
        <f aca="false">IF(    OR(   AND($C52=10000000,    $A$17&lt;=BV$19,      ($A$17+$DH$17)&gt;BV$19    ),   AND($C52&lt;&gt;10000000,  BV$19&gt;=$DW52,    BV$19&lt;=($DX52+$DH$17)  ))   ,$DV52,  "")</f>
        <v/>
      </c>
      <c r="BW52" s="111" t="str">
        <f aca="false">IF(    OR(   AND($C52=10000000,    $A$17&lt;=BW$19,      ($A$17+$DH$17)&gt;BW$19    ),   AND($C52&lt;&gt;10000000,  BW$19&gt;=$DW52,    BW$19&lt;=($DX52+$DH$17)  ))   ,$DV52,  "")</f>
        <v/>
      </c>
      <c r="BX52" s="111" t="str">
        <f aca="false">IF(    OR(   AND($C52=10000000,    $A$17&lt;=BX$19,      ($A$17+$DH$17)&gt;BX$19    ),   AND($C52&lt;&gt;10000000,  BX$19&gt;=$DW52,    BX$19&lt;=($DX52+$DH$17)  ))   ,$DV52,  "")</f>
        <v/>
      </c>
      <c r="BY52" s="111" t="str">
        <f aca="false">IF(    OR(   AND($C52=10000000,    $A$17&lt;=BY$19,      ($A$17+$DH$17)&gt;BY$19    ),   AND($C52&lt;&gt;10000000,  BY$19&gt;=$DW52,    BY$19&lt;=($DX52+$DH$17)  ))   ,$DV52,  "")</f>
        <v/>
      </c>
      <c r="BZ52" s="111" t="str">
        <f aca="false">IF(    OR(   AND($C52=10000000,    $A$17&lt;=BZ$19,      ($A$17+$DH$17)&gt;BZ$19    ),   AND($C52&lt;&gt;10000000,  BZ$19&gt;=$DW52,    BZ$19&lt;=($DX52+$DH$17)  ))   ,$DV52,  "")</f>
        <v/>
      </c>
      <c r="CA52" s="111" t="str">
        <f aca="false">IF(    OR(   AND($C52=10000000,    $A$17&lt;=CA$19,      ($A$17+$DH$17)&gt;CA$19    ),   AND($C52&lt;&gt;10000000,  CA$19&gt;=$DW52,    CA$19&lt;=($DX52+$DH$17)  ))   ,$DV52,  "")</f>
        <v/>
      </c>
      <c r="CB52" s="111" t="str">
        <f aca="false">IF(    OR(   AND($C52=10000000,    $A$17&lt;=CB$19,      ($A$17+$DH$17)&gt;CB$19    ),   AND($C52&lt;&gt;10000000,  CB$19&gt;=$DW52,    CB$19&lt;=($DX52+$DH$17)  ))   ,$DV52,  "")</f>
        <v/>
      </c>
      <c r="CC52" s="111" t="str">
        <f aca="false">IF(    OR(   AND($C52=10000000,    $A$17&lt;=CC$19,      ($A$17+$DH$17)&gt;CC$19    ),   AND($C52&lt;&gt;10000000,  CC$19&gt;=$DW52,    CC$19&lt;=($DX52+$DH$17)  ))   ,$DV52,  "")</f>
        <v/>
      </c>
      <c r="CD52" s="111" t="str">
        <f aca="false">IF(    OR(   AND($C52=10000000,    $A$17&lt;=CD$19,      ($A$17+$DH$17)&gt;CD$19    ),   AND($C52&lt;&gt;10000000,  CD$19&gt;=$DW52,    CD$19&lt;=($DX52+$DH$17)  ))   ,$DV52,  "")</f>
        <v/>
      </c>
      <c r="CE52" s="111" t="str">
        <f aca="false">IF(    OR(   AND($C52=10000000,    $A$17&lt;=CE$19,      ($A$17+$DH$17)&gt;CE$19    ),   AND($C52&lt;&gt;10000000,  CE$19&gt;=$DW52,    CE$19&lt;=($DX52+$DH$17)  ))   ,$DV52,  "")</f>
        <v/>
      </c>
      <c r="CF52" s="111" t="str">
        <f aca="false">IF(    OR(   AND($C52=10000000,    $A$17&lt;=CF$19,      ($A$17+$DH$17)&gt;CF$19    ),   AND($C52&lt;&gt;10000000,  CF$19&gt;=$DW52,    CF$19&lt;=($DX52+$DH$17)  ))   ,$DV52,  "")</f>
        <v/>
      </c>
      <c r="CG52" s="111" t="str">
        <f aca="false">IF(    OR(   AND($C52=10000000,    $A$17&lt;=CG$19,      ($A$17+$DH$17)&gt;CG$19    ),   AND($C52&lt;&gt;10000000,  CG$19&gt;=$DW52,    CG$19&lt;=($DX52+$DH$17)  ))   ,$DV52,  "")</f>
        <v/>
      </c>
      <c r="CH52" s="111" t="str">
        <f aca="false">IF(    OR(   AND($C52=10000000,    $A$17&lt;=CH$19,      ($A$17+$DH$17)&gt;CH$19    ),   AND($C52&lt;&gt;10000000,  CH$19&gt;=$DW52,    CH$19&lt;=($DX52+$DH$17)  ))   ,$DV52,  "")</f>
        <v/>
      </c>
      <c r="CI52" s="111" t="str">
        <f aca="false">IF(    OR(   AND($C52=10000000,    $A$17&lt;=CI$19,      ($A$17+$DH$17)&gt;CI$19    ),   AND($C52&lt;&gt;10000000,  CI$19&gt;=$DW52,    CI$19&lt;=($DX52+$DH$17)  ))   ,$DV52,  "")</f>
        <v/>
      </c>
      <c r="CJ52" s="111" t="str">
        <f aca="false">IF(    OR(   AND($C52=10000000,    $A$17&lt;=CJ$19,      ($A$17+$DH$17)&gt;CJ$19    ),   AND($C52&lt;&gt;10000000,  CJ$19&gt;=$DW52,    CJ$19&lt;=($DX52+$DH$17)  ))   ,$DV52,  "")</f>
        <v/>
      </c>
      <c r="CK52" s="111" t="str">
        <f aca="false">IF(    OR(   AND($C52=10000000,    $A$17&lt;=CK$19,      ($A$17+$DH$17)&gt;CK$19    ),   AND($C52&lt;&gt;10000000,  CK$19&gt;=$DW52,    CK$19&lt;=($DX52+$DH$17)  ))   ,$DV52,  "")</f>
        <v/>
      </c>
      <c r="CL52" s="111" t="str">
        <f aca="false">IF(    OR(   AND($C52=10000000,    $A$17&lt;=CL$19,      ($A$17+$DH$17)&gt;CL$19    ),   AND($C52&lt;&gt;10000000,  CL$19&gt;=$DW52,    CL$19&lt;=($DX52+$DH$17)  ))   ,$DV52,  "")</f>
        <v/>
      </c>
      <c r="CM52" s="111" t="str">
        <f aca="false">IF(    OR(   AND($C52=10000000,    $A$17&lt;=CM$19,      ($A$17+$DH$17)&gt;CM$19    ),   AND($C52&lt;&gt;10000000,  CM$19&gt;=$DW52,    CM$19&lt;=($DX52+$DH$17)  ))   ,$DV52,  "")</f>
        <v/>
      </c>
      <c r="CN52" s="111" t="str">
        <f aca="false">IF(    OR(   AND($C52=10000000,    $A$17&lt;=CN$19,      ($A$17+$DH$17)&gt;CN$19    ),   AND($C52&lt;&gt;10000000,  CN$19&gt;=$DW52,    CN$19&lt;=($DX52+$DH$17)  ))   ,$DV52,  "")</f>
        <v/>
      </c>
      <c r="CO52" s="111" t="str">
        <f aca="false">IF(    OR(   AND($C52=10000000,    $A$17&lt;=CO$19,      ($A$17+$DH$17)&gt;CO$19    ),   AND($C52&lt;&gt;10000000,  CO$19&gt;=$DW52,    CO$19&lt;=($DX52+$DH$17)  ))   ,$DV52,  "")</f>
        <v/>
      </c>
      <c r="CP52" s="111" t="str">
        <f aca="false">IF(    OR(   AND($C52=10000000,    $A$17&lt;=CP$19,      ($A$17+$DH$17)&gt;CP$19    ),   AND($C52&lt;&gt;10000000,  CP$19&gt;=$DW52,    CP$19&lt;=($DX52+$DH$17)  ))   ,$DV52,  "")</f>
        <v/>
      </c>
      <c r="CQ52" s="111" t="str">
        <f aca="false">IF(    OR(   AND($C52=10000000,    $A$17&lt;=CQ$19,      ($A$17+$DH$17)&gt;CQ$19    ),   AND($C52&lt;&gt;10000000,  CQ$19&gt;=$DW52,    CQ$19&lt;=($DX52+$DH$17)  ))   ,$DV52,  "")</f>
        <v/>
      </c>
      <c r="CR52" s="111" t="str">
        <f aca="false">IF(    OR(   AND($C52=10000000,    $A$17&lt;=CR$19,      ($A$17+$DH$17)&gt;CR$19    ),   AND($C52&lt;&gt;10000000,  CR$19&gt;=$DW52,    CR$19&lt;=($DX52+$DH$17)  ))   ,$DV52,  "")</f>
        <v/>
      </c>
      <c r="CS52" s="111" t="str">
        <f aca="false">IF(    OR(   AND($C52=10000000,    $A$17&lt;=CS$19,      ($A$17+$DH$17)&gt;CS$19    ),   AND($C52&lt;&gt;10000000,  CS$19&gt;=$DW52,    CS$19&lt;=($DX52+$DH$17)  ))   ,$DV52,  "")</f>
        <v/>
      </c>
      <c r="CT52" s="111" t="str">
        <f aca="false">IF(    OR(   AND($C52=10000000,    $A$17&lt;=CT$19,      ($A$17+$DH$17)&gt;CT$19    ),   AND($C52&lt;&gt;10000000,  CT$19&gt;=$DW52,    CT$19&lt;=($DX52+$DH$17)  ))   ,$DV52,  "")</f>
        <v/>
      </c>
      <c r="CU52" s="111" t="str">
        <f aca="false">IF(    OR(   AND($C52=10000000,    $A$17&lt;=CU$19,      ($A$17+$DH$17)&gt;CU$19    ),   AND($C52&lt;&gt;10000000,  CU$19&gt;=$DW52,    CU$19&lt;=($DX52+$DH$17)  ))   ,$DV52,  "")</f>
        <v/>
      </c>
      <c r="CV52" s="111" t="str">
        <f aca="false">IF(    OR(   AND($C52=10000000,    $A$17&lt;=CV$19,      ($A$17+$DH$17)&gt;CV$19    ),   AND($C52&lt;&gt;10000000,  CV$19&gt;=$DW52,    CV$19&lt;=($DX52+$DH$17)  ))   ,$DV52,  "")</f>
        <v/>
      </c>
      <c r="CW52" s="111" t="str">
        <f aca="false">IF(    OR(   AND($C52=10000000,    $A$17&lt;=CW$19,      ($A$17+$DH$17)&gt;CW$19    ),   AND($C52&lt;&gt;10000000,  CW$19&gt;=$DW52,    CW$19&lt;=($DX52+$DH$17)  ))   ,$DV52,  "")</f>
        <v/>
      </c>
      <c r="CX52" s="111" t="str">
        <f aca="false">IF(    OR(   AND($C52=10000000,    $A$17&lt;=CX$19,      ($A$17+$DH$17)&gt;CX$19    ),   AND($C52&lt;&gt;10000000,  CX$19&gt;=$DW52,    CX$19&lt;=($DX52+$DH$17)  ))   ,$DV52,  "")</f>
        <v/>
      </c>
      <c r="CY52" s="111" t="str">
        <f aca="false">IF(    OR(   AND($C52=10000000,    $A$17&lt;=CY$19,      ($A$17+$DH$17)&gt;CY$19    ),   AND($C52&lt;&gt;10000000,  CY$19&gt;=$DW52,    CY$19&lt;=($DX52+$DH$17)  ))   ,$DV52,  "")</f>
        <v/>
      </c>
      <c r="CZ52" s="111" t="str">
        <f aca="false">IF(    OR(   AND($C52=10000000,    $A$17&lt;=CZ$19,      ($A$17+$DH$17)&gt;CZ$19    ),   AND($C52&lt;&gt;10000000,  CZ$19&gt;=$DW52,    CZ$19&lt;=($DX52+$DH$17)  ))   ,$DV52,  "")</f>
        <v/>
      </c>
      <c r="DA52" s="111" t="str">
        <f aca="false">IF(    OR(   AND($C52=10000000,    $A$17&lt;=DA$19,      ($A$17+$DH$17)&gt;DA$19    ),   AND($C52&lt;&gt;10000000,  DA$19&gt;=$DW52,    DA$19&lt;=($DX52+$DH$17)  ))   ,$DV52,  "")</f>
        <v/>
      </c>
      <c r="DB52" s="111" t="str">
        <f aca="false">IF(    OR(   AND($C52=10000000,    $A$17&lt;=DB$19,      ($A$17+$DH$17)&gt;DB$19    ),   AND($C52&lt;&gt;10000000,  DB$19&gt;=$DW52,    DB$19&lt;=($DX52+$DH$17)  ))   ,$DV52,  "")</f>
        <v/>
      </c>
      <c r="DC52" s="111" t="str">
        <f aca="false">IF(    OR(   AND($C52=10000000,    $A$17&lt;=DC$19,      ($A$17+$DH$17)&gt;DC$19    ),   AND($C52&lt;&gt;10000000,  DC$19&gt;=$DW52,    DC$19&lt;=($DX52+$DH$17)  ))   ,$DV52,  "")</f>
        <v/>
      </c>
      <c r="DD52" s="111" t="str">
        <f aca="false">IF(    OR(   AND($C52=10000000,    $A$17&lt;=DD$19,      ($A$17+$DH$17)&gt;DD$19    ),   AND($C52&lt;&gt;10000000,  DD$19&gt;=$DW52,    DD$19&lt;=($DX52+$DH$17)  ))   ,$DV52,  "")</f>
        <v/>
      </c>
      <c r="DE52" s="111" t="str">
        <f aca="false">IF(    OR(   AND($C52=10000000,    $A$17&lt;=DE$19,      ($A$17+$DH$17)&gt;DE$19    ),   AND($C52&lt;&gt;10000000,  DE$19&gt;=$DW52,    DE$19&lt;=($DX52+$DH$17)  ))   ,$DV52,  "")</f>
        <v/>
      </c>
      <c r="DF52" s="111" t="str">
        <f aca="false">IF(    OR(   AND($C52=10000000,    $A$17&lt;=DF$19,      ($A$17+$DH$17)&gt;DF$19    ),   AND($C52&lt;&gt;10000000,  DF$19&gt;=$DW52,    DF$19&lt;=($DX52+$DH$17)  ))   ,$DV52,  "")</f>
        <v/>
      </c>
      <c r="DG52" s="111" t="str">
        <f aca="false">IF(    OR(   AND($C52=10000000,    $A$17&lt;=DG$19,      ($A$17+$DH$17)&gt;DG$19    ),   AND($C52&lt;&gt;10000000,  DG$19&gt;=$DW52,    DG$19&lt;=($DX52+$DH$17)  ))   ,$DV52,  "")</f>
        <v/>
      </c>
      <c r="DH52" s="111" t="str">
        <f aca="false">IF(    OR(   AND($C52=10000000,    $A$17&lt;=DH$19,      ($A$17+$DH$17)&gt;DH$19    ),   AND($C52&lt;&gt;10000000,  DH$19&gt;=$DW52,    DH$19&lt;=($DX52+$DH$17)  ))   ,$DV52,  "")</f>
        <v/>
      </c>
      <c r="DI52" s="112" t="str">
        <f aca="false">IF(BB52="","",IF(ISERROR(FIND(CHAR(10),BB52,1)),BB52,LEFT(BB52,FIND(CHAR(10),BB52,1))))</f>
        <v/>
      </c>
      <c r="DJ52" s="53" t="str">
        <f aca="false">IF(BB52="","",IFERROR(RIGHT(BB52,LEN(BB52)-FIND("@@@",SUBSTITUTE(BB52,CHAR(10),"@@@",LEN(BB52)-LEN(SUBSTITUTE(BB52,CHAR(10),""))),1)),BB52))</f>
        <v/>
      </c>
      <c r="DK52" s="53" t="str">
        <f aca="false">IF(BC52="","",IFERROR(RIGHT(BC52,LEN(BC52)-FIND("@@@",SUBSTITUTE(BC52,CHAR(10),"@@@",LEN(BC52)-LEN(SUBSTITUTE(BC52,CHAR(10),""))),1)),BC52))</f>
        <v/>
      </c>
      <c r="DL52" s="113" t="str">
        <f aca="false">IFERROR(DATE(("20"&amp;MID(DI52,7,2))*1,MID(DI52,4,2)*1,MID(DI52,1,2)*1),"none")</f>
        <v>none</v>
      </c>
      <c r="DM52" s="113" t="str">
        <f aca="false">IFERROR(DATE(("20"&amp;MID(DJ52,7,2))*1,MID(DJ52,4,2)*1,MID(DJ52,1,2)*1),"none")</f>
        <v>none</v>
      </c>
      <c r="DN52" s="113" t="n">
        <f aca="false">IF(DL52&lt;&gt;"none",DL52,DATE(1900,1,1))</f>
        <v>2</v>
      </c>
      <c r="DO52" s="113" t="n">
        <f aca="false">IF(DM52&lt;&gt;"none",DM52,DN52)</f>
        <v>2</v>
      </c>
      <c r="DP52" s="114" t="n">
        <f aca="false">_xlfn.DAYS($A$17,DN52)</f>
        <v>45332</v>
      </c>
      <c r="DQ52" s="114" t="n">
        <f aca="false">_xlfn.DAYS($A$17, DO52)</f>
        <v>45332</v>
      </c>
      <c r="DR52" s="51" t="n">
        <f aca="false">IF(DO52&lt;&gt;"",INT(DQ52/7),0)</f>
        <v>6476</v>
      </c>
      <c r="DS52" s="114" t="n">
        <f aca="false">IF(M52="Overdue",_xlfn.DAYS($A$17,AL52),0)</f>
        <v>0</v>
      </c>
      <c r="DT52" s="114" t="n">
        <f aca="false">IF(AH52="Project",_xlfn.DAYS(AL52,$A$17),0)</f>
        <v>0</v>
      </c>
      <c r="DU52" s="51" t="str">
        <f aca="false">IFERROR(INDEX(Static!$D$5:$E$11,MATCH(AH52,Static!$D$5:$D$11,0),2),"")</f>
        <v/>
      </c>
      <c r="DV52" s="51" t="str">
        <f aca="false">IF(C52=10000000,"Red",IF(OR(C52=11000000,C52=12000000),"Black",IF(C52=11100000,"Dark",IF(AND(C52=12100000,M52="Completed"),"Green",IF(AND(C52=12100000,M52="Overdue"),"Red",IF(C52=12100000,"Dark",IF(AND(C52=12110000,M52="Overdue"),"LightRed",IF(AND(C52=12110000,M52="Completed"),"LightGreen",IF(OR(C52=11110000,C52=12110000),"Light",IF(AND(C52=12111000,M52="Overdue"),"SoftRed",IF(AND(C52=12111000,M52="Completed"),"SoftGreen",IF(OR(C52=11111000,C52=12111000),"Grey",""))))))))))))</f>
        <v/>
      </c>
      <c r="DW52" s="49" t="n">
        <f aca="false">IF(AK52&lt;&gt;"",AK52,$BI$19)</f>
        <v>44927</v>
      </c>
      <c r="DX52" s="49" t="n">
        <f aca="false">IF(AL52&lt;&gt;"",AL52,$DH$19)</f>
        <v>45657</v>
      </c>
      <c r="DY52" s="79" t="s">
        <v>450</v>
      </c>
    </row>
    <row r="53" customFormat="false" ht="14.15" hidden="false" customHeight="true" outlineLevel="0" collapsed="false">
      <c r="A53" s="63"/>
      <c r="B53" s="53" t="n">
        <f aca="false">AH53</f>
        <v>0</v>
      </c>
      <c r="C53" s="51" t="n">
        <f aca="false">IFERROR(INDEX(Static!$D$5:$F$11,MATCH(AH53,Static!$D$5:$D$11,0),3),90000000)</f>
        <v>90000000</v>
      </c>
      <c r="D53" s="51" t="str">
        <f aca="false">MID(C53,2,1)</f>
        <v>0</v>
      </c>
      <c r="E53" s="53" t="str">
        <f aca="false">AB53</f>
        <v/>
      </c>
      <c r="F53" s="51" t="str">
        <f aca="false">IF(B53="Venture",0,IF(OR(B53="Project",B53="Stream",B53="Action"),AK53,""))</f>
        <v/>
      </c>
      <c r="G53" s="51" t="n">
        <f aca="false">AS53</f>
        <v>0</v>
      </c>
      <c r="H53" s="51" t="str">
        <f aca="false">IF(B53="Venture",0,IFERROR(INDEX($E$20:$F$55,MATCH(G53,$E$20:$E$55,0),2),""))</f>
        <v/>
      </c>
      <c r="I53" s="51" t="str">
        <f aca="false">IF(B53="Venture",0,IFERROR(INDEX($E$20:$G$55,MATCH(G53,$E$20:$E$55,0),3),""))</f>
        <v/>
      </c>
      <c r="J53" s="51" t="str">
        <f aca="false">IF(B53="Venture",0,IFERROR(INDEX($E$20:$H$55,MATCH(G53,$E$20:$E$55,0),4),""))</f>
        <v/>
      </c>
      <c r="K53" s="51" t="n">
        <f aca="false">IF(B53="Venture",0,IFERROR(INDEX($E$20:$G$55,MATCH(I53,$E$20:$E$55,0),3),""))</f>
        <v>0</v>
      </c>
      <c r="L53" s="51" t="str">
        <f aca="false">IF(M53="Completed","Completed","Ongoing")</f>
        <v>Ongoing</v>
      </c>
      <c r="M53" s="51" t="n">
        <f aca="false">IF(OR(AH53="Venture",AH53="Routine",AH53="Run Goal", AH53="Chg Goal", AH53=""),AH53,IF(AN53&lt;&gt;"","Completed",IF(AM53&lt;&gt;"","Pending",IF(AND(AL53&lt;&gt;"",$A$17&gt;AL53),"Overdue",IF($A$17&gt;AK53,"Started","Open")))))</f>
        <v>0</v>
      </c>
      <c r="N53" s="50" t="n">
        <f aca="false">((LEN($BC53)-LEN(SUBSTITUTE($BC53,CHAR(10)&amp;". ","")))/3)+IF(LEFT(TRIM($BC53),2)=". ",1,0)</f>
        <v>0</v>
      </c>
      <c r="O53" s="50" t="n">
        <f aca="false">((LEN($BC53)-LEN(SUBSTITUTE($BC53,CHAR(10)&amp;"/ ","")))/3)+IF(LEFT(TRIM($BC53),2)="/ ",1,0)</f>
        <v>0</v>
      </c>
      <c r="P53" s="50" t="n">
        <f aca="false">((LEN($BC53)-LEN(SUBSTITUTE($BC53,CHAR(10)&amp;"~ ","")))/3)+IF(LEFT(TRIM($BC53),2)="~ ",1,0)</f>
        <v>0</v>
      </c>
      <c r="Q53" s="50" t="n">
        <f aca="false">((LEN($BC53)-LEN(SUBSTITUTE($BC53,CHAR(10)&amp;"! ","")))/3)+IF(LEFT(TRIM($BC53),2)="! ",1,0)</f>
        <v>0</v>
      </c>
      <c r="R53" s="50" t="n">
        <f aca="false">((LEN($BC53)-LEN(SUBSTITUTE($BC53,CHAR(10)&amp;"x ","")))/3)+IF(LEFT(TRIM($BC53),2)="x ",1,0)</f>
        <v>0</v>
      </c>
      <c r="S53" s="50" t="n">
        <f aca="false">SUM(N53:R53)</f>
        <v>0</v>
      </c>
      <c r="T53" s="51" t="n">
        <f aca="false">IF(OR($B53="Drill",$B53="Action"),$AO53,0)</f>
        <v>0</v>
      </c>
      <c r="U53" s="51" t="n">
        <f aca="false">IF(OR($B53="Sub",$B53="Stream"),$AO53+SUMIFS($AO$20:$AO$55,$G$20:$G$55,$E53),0)</f>
        <v>0</v>
      </c>
      <c r="V53" s="51" t="n">
        <f aca="false">IF(OR($B53="Routine",$B53="Project"),$AO53+SUMIFS($U$20:$U$55,$G$20:$G$55,$E53),0)</f>
        <v>0</v>
      </c>
      <c r="W53" s="51" t="n">
        <f aca="false">IF($B53="Venture",$AO53+SUMIFS($V$20:$V$55,$G$20:$G$55,$E53),0)</f>
        <v>0</v>
      </c>
      <c r="X53" s="51" t="n">
        <f aca="false">IF(OR($B53="Drill",$B53="Action"),$AP53,0)</f>
        <v>0</v>
      </c>
      <c r="Y53" s="51" t="n">
        <f aca="false">IF(OR($B53="Sub",$B53="Stream"),$AP53+SUMIFS($AP$20:$AP$55,$G$20:$G$55,$E53),0)</f>
        <v>0</v>
      </c>
      <c r="Z53" s="51" t="n">
        <f aca="false">IF(OR($B53="Routine",$B53="Project"),$AP53+SUMIFS($Y$20:$Y$55,$G$20:$G$55,$E53),0)</f>
        <v>0</v>
      </c>
      <c r="AA53" s="51" t="n">
        <f aca="false">IF($B53="Venture",$AP53+SUMIFS($Z$20:$Z$55,$G$20:$G$55,$E53),0)</f>
        <v>0</v>
      </c>
      <c r="AB53" s="51" t="str">
        <f aca="false">IF(OR(AH53="Venture", AH53="Run Goal", AH53="Chg Goal"),AI53,AH53&amp;AI53&amp;AR53)</f>
        <v/>
      </c>
      <c r="AC53" s="53" t="str">
        <f aca="false">"  -  "&amp;IF(C53=90000000,9&amp;"Z",D53&amp;AE53&amp;IF(OR(B53="Run Goal",B53="Chg Goal", B53="Venture"),"",IF(OR(B53="Routine",B53="Project"),F53&amp;E53,  IF(OR(B53="Sub",B53="Stream"),H53&amp;G53&amp;F53&amp;E53,IF(OR(B53="Drill",B53="Action"),J53&amp;I53&amp;H53&amp;G53&amp;F53&amp;E53,     "") )    )))</f>
        <v>  -  9Z</v>
      </c>
      <c r="AD53" s="51" t="str">
        <f aca="false">IF(AND(AM53="",AN53=""),"Y","N")</f>
        <v>Y</v>
      </c>
      <c r="AE53" s="103" t="str">
        <f aca="false">IF(OR(AF53="Y",AF53="Y"),AF53,IF(DM53="none","N",IF(DM53&gt;($A$17-WEEKDAY($A$17,2)-(7*$AE$18)),"Y","N")))</f>
        <v>N</v>
      </c>
      <c r="AF53" s="104"/>
      <c r="AG53" s="105"/>
      <c r="AH53" s="79"/>
      <c r="AI53" s="56"/>
      <c r="AJ53" s="56"/>
      <c r="AK53" s="106"/>
      <c r="AL53" s="106"/>
      <c r="AM53" s="106"/>
      <c r="AN53" s="106"/>
      <c r="AO53" s="107"/>
      <c r="AP53" s="107"/>
      <c r="AQ53" s="79"/>
      <c r="AR53" s="79"/>
      <c r="AS53" s="79"/>
      <c r="AT53" s="79"/>
      <c r="AU53" s="79"/>
      <c r="AV53" s="79"/>
      <c r="AW53" s="79"/>
      <c r="AX53" s="79"/>
      <c r="AY53" s="79"/>
      <c r="AZ53" s="79"/>
      <c r="BA53" s="63"/>
      <c r="BB53" s="63"/>
      <c r="BC53" s="63"/>
      <c r="BD53" s="51" t="n">
        <f aca="false">SUM(N53:Q53)</f>
        <v>0</v>
      </c>
      <c r="BE53" s="59" t="n">
        <f aca="false">IF(AI53="",1,IF(S53&lt;&gt;0,(O53*0.5+R53)/S53,1))</f>
        <v>1</v>
      </c>
      <c r="BF53" s="81" t="str">
        <f aca="false">IF(AH53="","",IF(AH53="Venture",W53,IF(OR(AH53="Chg Goal",AH53="RUn Goal"),V53,IF(OR(AH53="ROutine",AH53="Project"),V53,IF(OR(AH53="Sub",AH53="Stream"),U53,IF(OR(AH53="Drill",AH53="Action"),T53,0))))))</f>
        <v/>
      </c>
      <c r="BG53" s="81" t="str">
        <f aca="false">IF(AH53="","",IF(AH53="Venture",AA53,IF(OR(AH53="Chg Goal",AH53="RUn Goal"),Z53,IF(OR(AH53="ROutine",AH53="Project"),Z53,IF(OR(AH53="Sub",AH53="Stream"),Y53,IF(OR(AH53="Drill",AH53="Action"),X53,0))))))</f>
        <v/>
      </c>
      <c r="BH53" s="109" t="str">
        <f aca="false">IF(AI53="","",IF(OR(BF53=0, BF53=""),0,BG53/BF53))</f>
        <v/>
      </c>
      <c r="BI53" s="110" t="str">
        <f aca="false">IF(    OR(   AND($C53=10000000,    BI$19&gt;=$A$17,      BI$19 &lt;($A$17+$DH$17)   ),   AND($C53&lt;&gt;10000000,  BI$19&gt;=$DW53,    BI$19&lt;=($DX53+$DH$17)  ))   ,$DV53,  "")</f>
        <v/>
      </c>
      <c r="BJ53" s="111" t="str">
        <f aca="false">IF(    OR(   AND($C53=10000000,    $A$17&lt;=BJ$19,      ($A$17+$DH$17)&gt;BJ$19    ),   AND($C53&lt;&gt;10000000,  BJ$19&gt;=$DW53,    BJ$19&lt;=($DX53+$DH$17)  ))   ,$DV53,  "")</f>
        <v/>
      </c>
      <c r="BK53" s="111" t="str">
        <f aca="false">IF(    OR(   AND($C53=10000000,    $A$17&lt;=BK$19,      ($A$17+$DH$17)&gt;BK$19    ),   AND($C53&lt;&gt;10000000,  BK$19&gt;=$DW53,    BK$19&lt;=($DX53+$DH$17)  ))   ,$DV53,  "")</f>
        <v/>
      </c>
      <c r="BL53" s="111" t="str">
        <f aca="false">IF(    OR(   AND($C53=10000000,    $A$17&lt;=BL$19,      ($A$17+$DH$17)&gt;BL$19    ),   AND($C53&lt;&gt;10000000,  BL$19&gt;=$DW53,    BL$19&lt;=($DX53+$DH$17)  ))   ,$DV53,  "")</f>
        <v/>
      </c>
      <c r="BM53" s="111" t="str">
        <f aca="false">IF(    OR(   AND($C53=10000000,    $A$17&lt;=BM$19,      ($A$17+$DH$17)&gt;BM$19    ),   AND($C53&lt;&gt;10000000,  BM$19&gt;=$DW53,    BM$19&lt;=($DX53+$DH$17)  ))   ,$DV53,  "")</f>
        <v/>
      </c>
      <c r="BN53" s="111" t="str">
        <f aca="false">IF(    OR(   AND($C53=10000000,    $A$17&lt;=BN$19,      ($A$17+$DH$17)&gt;BN$19    ),   AND($C53&lt;&gt;10000000,  BN$19&gt;=$DW53,    BN$19&lt;=($DX53+$DH$17)  ))   ,$DV53,  "")</f>
        <v/>
      </c>
      <c r="BO53" s="111" t="str">
        <f aca="false">IF(    OR(   AND($C53=10000000,    $A$17&lt;=BO$19,      ($A$17+$DH$17)&gt;BO$19    ),   AND($C53&lt;&gt;10000000,  BO$19&gt;=$DW53,    BO$19&lt;=($DX53+$DH$17)  ))   ,$DV53,  "")</f>
        <v/>
      </c>
      <c r="BP53" s="111" t="str">
        <f aca="false">IF(    OR(   AND($C53=10000000,    $A$17&lt;=BP$19,      ($A$17+$DH$17)&gt;BP$19    ),   AND($C53&lt;&gt;10000000,  BP$19&gt;=$DW53,    BP$19&lt;=($DX53+$DH$17)  ))   ,$DV53,  "")</f>
        <v/>
      </c>
      <c r="BQ53" s="111" t="str">
        <f aca="false">IF(    OR(   AND($C53=10000000,    $A$17&lt;=BQ$19,      ($A$17+$DH$17)&gt;BQ$19    ),   AND($C53&lt;&gt;10000000,  BQ$19&gt;=$DW53,    BQ$19&lt;=($DX53+$DH$17)  ))   ,$DV53,  "")</f>
        <v/>
      </c>
      <c r="BR53" s="111" t="str">
        <f aca="false">IF(    OR(   AND($C53=10000000,    $A$17&lt;=BR$19,      ($A$17+$DH$17)&gt;BR$19    ),   AND($C53&lt;&gt;10000000,  BR$19&gt;=$DW53,    BR$19&lt;=($DX53+$DH$17)  ))   ,$DV53,  "")</f>
        <v/>
      </c>
      <c r="BS53" s="111" t="str">
        <f aca="false">IF(    OR(   AND($C53=10000000,    $A$17&lt;=BS$19,      ($A$17+$DH$17)&gt;BS$19    ),   AND($C53&lt;&gt;10000000,  BS$19&gt;=$DW53,    BS$19&lt;=($DX53+$DH$17)  ))   ,$DV53,  "")</f>
        <v/>
      </c>
      <c r="BT53" s="111" t="str">
        <f aca="false">IF(    OR(   AND($C53=10000000,    $A$17&lt;=BT$19,      ($A$17+$DH$17)&gt;BT$19    ),   AND($C53&lt;&gt;10000000,  BT$19&gt;=$DW53,    BT$19&lt;=($DX53+$DH$17)  ))   ,$DV53,  "")</f>
        <v/>
      </c>
      <c r="BU53" s="111" t="str">
        <f aca="false">IF(    OR(   AND($C53=10000000,    $A$17&lt;=BU$19,      ($A$17+$DH$17)&gt;BU$19    ),   AND($C53&lt;&gt;10000000,  BU$19&gt;=$DW53,    BU$19&lt;=($DX53+$DH$17)  ))   ,$DV53,  "")</f>
        <v/>
      </c>
      <c r="BV53" s="111" t="str">
        <f aca="false">IF(    OR(   AND($C53=10000000,    $A$17&lt;=BV$19,      ($A$17+$DH$17)&gt;BV$19    ),   AND($C53&lt;&gt;10000000,  BV$19&gt;=$DW53,    BV$19&lt;=($DX53+$DH$17)  ))   ,$DV53,  "")</f>
        <v/>
      </c>
      <c r="BW53" s="111" t="str">
        <f aca="false">IF(    OR(   AND($C53=10000000,    $A$17&lt;=BW$19,      ($A$17+$DH$17)&gt;BW$19    ),   AND($C53&lt;&gt;10000000,  BW$19&gt;=$DW53,    BW$19&lt;=($DX53+$DH$17)  ))   ,$DV53,  "")</f>
        <v/>
      </c>
      <c r="BX53" s="111" t="str">
        <f aca="false">IF(    OR(   AND($C53=10000000,    $A$17&lt;=BX$19,      ($A$17+$DH$17)&gt;BX$19    ),   AND($C53&lt;&gt;10000000,  BX$19&gt;=$DW53,    BX$19&lt;=($DX53+$DH$17)  ))   ,$DV53,  "")</f>
        <v/>
      </c>
      <c r="BY53" s="111" t="str">
        <f aca="false">IF(    OR(   AND($C53=10000000,    $A$17&lt;=BY$19,      ($A$17+$DH$17)&gt;BY$19    ),   AND($C53&lt;&gt;10000000,  BY$19&gt;=$DW53,    BY$19&lt;=($DX53+$DH$17)  ))   ,$DV53,  "")</f>
        <v/>
      </c>
      <c r="BZ53" s="111" t="str">
        <f aca="false">IF(    OR(   AND($C53=10000000,    $A$17&lt;=BZ$19,      ($A$17+$DH$17)&gt;BZ$19    ),   AND($C53&lt;&gt;10000000,  BZ$19&gt;=$DW53,    BZ$19&lt;=($DX53+$DH$17)  ))   ,$DV53,  "")</f>
        <v/>
      </c>
      <c r="CA53" s="111" t="str">
        <f aca="false">IF(    OR(   AND($C53=10000000,    $A$17&lt;=CA$19,      ($A$17+$DH$17)&gt;CA$19    ),   AND($C53&lt;&gt;10000000,  CA$19&gt;=$DW53,    CA$19&lt;=($DX53+$DH$17)  ))   ,$DV53,  "")</f>
        <v/>
      </c>
      <c r="CB53" s="111" t="str">
        <f aca="false">IF(    OR(   AND($C53=10000000,    $A$17&lt;=CB$19,      ($A$17+$DH$17)&gt;CB$19    ),   AND($C53&lt;&gt;10000000,  CB$19&gt;=$DW53,    CB$19&lt;=($DX53+$DH$17)  ))   ,$DV53,  "")</f>
        <v/>
      </c>
      <c r="CC53" s="111" t="str">
        <f aca="false">IF(    OR(   AND($C53=10000000,    $A$17&lt;=CC$19,      ($A$17+$DH$17)&gt;CC$19    ),   AND($C53&lt;&gt;10000000,  CC$19&gt;=$DW53,    CC$19&lt;=($DX53+$DH$17)  ))   ,$DV53,  "")</f>
        <v/>
      </c>
      <c r="CD53" s="111" t="str">
        <f aca="false">IF(    OR(   AND($C53=10000000,    $A$17&lt;=CD$19,      ($A$17+$DH$17)&gt;CD$19    ),   AND($C53&lt;&gt;10000000,  CD$19&gt;=$DW53,    CD$19&lt;=($DX53+$DH$17)  ))   ,$DV53,  "")</f>
        <v/>
      </c>
      <c r="CE53" s="111" t="str">
        <f aca="false">IF(    OR(   AND($C53=10000000,    $A$17&lt;=CE$19,      ($A$17+$DH$17)&gt;CE$19    ),   AND($C53&lt;&gt;10000000,  CE$19&gt;=$DW53,    CE$19&lt;=($DX53+$DH$17)  ))   ,$DV53,  "")</f>
        <v/>
      </c>
      <c r="CF53" s="111" t="str">
        <f aca="false">IF(    OR(   AND($C53=10000000,    $A$17&lt;=CF$19,      ($A$17+$DH$17)&gt;CF$19    ),   AND($C53&lt;&gt;10000000,  CF$19&gt;=$DW53,    CF$19&lt;=($DX53+$DH$17)  ))   ,$DV53,  "")</f>
        <v/>
      </c>
      <c r="CG53" s="111" t="str">
        <f aca="false">IF(    OR(   AND($C53=10000000,    $A$17&lt;=CG$19,      ($A$17+$DH$17)&gt;CG$19    ),   AND($C53&lt;&gt;10000000,  CG$19&gt;=$DW53,    CG$19&lt;=($DX53+$DH$17)  ))   ,$DV53,  "")</f>
        <v/>
      </c>
      <c r="CH53" s="111" t="str">
        <f aca="false">IF(    OR(   AND($C53=10000000,    $A$17&lt;=CH$19,      ($A$17+$DH$17)&gt;CH$19    ),   AND($C53&lt;&gt;10000000,  CH$19&gt;=$DW53,    CH$19&lt;=($DX53+$DH$17)  ))   ,$DV53,  "")</f>
        <v/>
      </c>
      <c r="CI53" s="111" t="str">
        <f aca="false">IF(    OR(   AND($C53=10000000,    $A$17&lt;=CI$19,      ($A$17+$DH$17)&gt;CI$19    ),   AND($C53&lt;&gt;10000000,  CI$19&gt;=$DW53,    CI$19&lt;=($DX53+$DH$17)  ))   ,$DV53,  "")</f>
        <v/>
      </c>
      <c r="CJ53" s="111" t="str">
        <f aca="false">IF(    OR(   AND($C53=10000000,    $A$17&lt;=CJ$19,      ($A$17+$DH$17)&gt;CJ$19    ),   AND($C53&lt;&gt;10000000,  CJ$19&gt;=$DW53,    CJ$19&lt;=($DX53+$DH$17)  ))   ,$DV53,  "")</f>
        <v/>
      </c>
      <c r="CK53" s="111" t="str">
        <f aca="false">IF(    OR(   AND($C53=10000000,    $A$17&lt;=CK$19,      ($A$17+$DH$17)&gt;CK$19    ),   AND($C53&lt;&gt;10000000,  CK$19&gt;=$DW53,    CK$19&lt;=($DX53+$DH$17)  ))   ,$DV53,  "")</f>
        <v/>
      </c>
      <c r="CL53" s="111" t="str">
        <f aca="false">IF(    OR(   AND($C53=10000000,    $A$17&lt;=CL$19,      ($A$17+$DH$17)&gt;CL$19    ),   AND($C53&lt;&gt;10000000,  CL$19&gt;=$DW53,    CL$19&lt;=($DX53+$DH$17)  ))   ,$DV53,  "")</f>
        <v/>
      </c>
      <c r="CM53" s="111" t="str">
        <f aca="false">IF(    OR(   AND($C53=10000000,    $A$17&lt;=CM$19,      ($A$17+$DH$17)&gt;CM$19    ),   AND($C53&lt;&gt;10000000,  CM$19&gt;=$DW53,    CM$19&lt;=($DX53+$DH$17)  ))   ,$DV53,  "")</f>
        <v/>
      </c>
      <c r="CN53" s="111" t="str">
        <f aca="false">IF(    OR(   AND($C53=10000000,    $A$17&lt;=CN$19,      ($A$17+$DH$17)&gt;CN$19    ),   AND($C53&lt;&gt;10000000,  CN$19&gt;=$DW53,    CN$19&lt;=($DX53+$DH$17)  ))   ,$DV53,  "")</f>
        <v/>
      </c>
      <c r="CO53" s="111" t="str">
        <f aca="false">IF(    OR(   AND($C53=10000000,    $A$17&lt;=CO$19,      ($A$17+$DH$17)&gt;CO$19    ),   AND($C53&lt;&gt;10000000,  CO$19&gt;=$DW53,    CO$19&lt;=($DX53+$DH$17)  ))   ,$DV53,  "")</f>
        <v/>
      </c>
      <c r="CP53" s="111" t="str">
        <f aca="false">IF(    OR(   AND($C53=10000000,    $A$17&lt;=CP$19,      ($A$17+$DH$17)&gt;CP$19    ),   AND($C53&lt;&gt;10000000,  CP$19&gt;=$DW53,    CP$19&lt;=($DX53+$DH$17)  ))   ,$DV53,  "")</f>
        <v/>
      </c>
      <c r="CQ53" s="111" t="str">
        <f aca="false">IF(    OR(   AND($C53=10000000,    $A$17&lt;=CQ$19,      ($A$17+$DH$17)&gt;CQ$19    ),   AND($C53&lt;&gt;10000000,  CQ$19&gt;=$DW53,    CQ$19&lt;=($DX53+$DH$17)  ))   ,$DV53,  "")</f>
        <v/>
      </c>
      <c r="CR53" s="111" t="str">
        <f aca="false">IF(    OR(   AND($C53=10000000,    $A$17&lt;=CR$19,      ($A$17+$DH$17)&gt;CR$19    ),   AND($C53&lt;&gt;10000000,  CR$19&gt;=$DW53,    CR$19&lt;=($DX53+$DH$17)  ))   ,$DV53,  "")</f>
        <v/>
      </c>
      <c r="CS53" s="111" t="str">
        <f aca="false">IF(    OR(   AND($C53=10000000,    $A$17&lt;=CS$19,      ($A$17+$DH$17)&gt;CS$19    ),   AND($C53&lt;&gt;10000000,  CS$19&gt;=$DW53,    CS$19&lt;=($DX53+$DH$17)  ))   ,$DV53,  "")</f>
        <v/>
      </c>
      <c r="CT53" s="111" t="str">
        <f aca="false">IF(    OR(   AND($C53=10000000,    $A$17&lt;=CT$19,      ($A$17+$DH$17)&gt;CT$19    ),   AND($C53&lt;&gt;10000000,  CT$19&gt;=$DW53,    CT$19&lt;=($DX53+$DH$17)  ))   ,$DV53,  "")</f>
        <v/>
      </c>
      <c r="CU53" s="111" t="str">
        <f aca="false">IF(    OR(   AND($C53=10000000,    $A$17&lt;=CU$19,      ($A$17+$DH$17)&gt;CU$19    ),   AND($C53&lt;&gt;10000000,  CU$19&gt;=$DW53,    CU$19&lt;=($DX53+$DH$17)  ))   ,$DV53,  "")</f>
        <v/>
      </c>
      <c r="CV53" s="111" t="str">
        <f aca="false">IF(    OR(   AND($C53=10000000,    $A$17&lt;=CV$19,      ($A$17+$DH$17)&gt;CV$19    ),   AND($C53&lt;&gt;10000000,  CV$19&gt;=$DW53,    CV$19&lt;=($DX53+$DH$17)  ))   ,$DV53,  "")</f>
        <v/>
      </c>
      <c r="CW53" s="111" t="str">
        <f aca="false">IF(    OR(   AND($C53=10000000,    $A$17&lt;=CW$19,      ($A$17+$DH$17)&gt;CW$19    ),   AND($C53&lt;&gt;10000000,  CW$19&gt;=$DW53,    CW$19&lt;=($DX53+$DH$17)  ))   ,$DV53,  "")</f>
        <v/>
      </c>
      <c r="CX53" s="111" t="str">
        <f aca="false">IF(    OR(   AND($C53=10000000,    $A$17&lt;=CX$19,      ($A$17+$DH$17)&gt;CX$19    ),   AND($C53&lt;&gt;10000000,  CX$19&gt;=$DW53,    CX$19&lt;=($DX53+$DH$17)  ))   ,$DV53,  "")</f>
        <v/>
      </c>
      <c r="CY53" s="111" t="str">
        <f aca="false">IF(    OR(   AND($C53=10000000,    $A$17&lt;=CY$19,      ($A$17+$DH$17)&gt;CY$19    ),   AND($C53&lt;&gt;10000000,  CY$19&gt;=$DW53,    CY$19&lt;=($DX53+$DH$17)  ))   ,$DV53,  "")</f>
        <v/>
      </c>
      <c r="CZ53" s="111" t="str">
        <f aca="false">IF(    OR(   AND($C53=10000000,    $A$17&lt;=CZ$19,      ($A$17+$DH$17)&gt;CZ$19    ),   AND($C53&lt;&gt;10000000,  CZ$19&gt;=$DW53,    CZ$19&lt;=($DX53+$DH$17)  ))   ,$DV53,  "")</f>
        <v/>
      </c>
      <c r="DA53" s="111" t="str">
        <f aca="false">IF(    OR(   AND($C53=10000000,    $A$17&lt;=DA$19,      ($A$17+$DH$17)&gt;DA$19    ),   AND($C53&lt;&gt;10000000,  DA$19&gt;=$DW53,    DA$19&lt;=($DX53+$DH$17)  ))   ,$DV53,  "")</f>
        <v/>
      </c>
      <c r="DB53" s="111" t="str">
        <f aca="false">IF(    OR(   AND($C53=10000000,    $A$17&lt;=DB$19,      ($A$17+$DH$17)&gt;DB$19    ),   AND($C53&lt;&gt;10000000,  DB$19&gt;=$DW53,    DB$19&lt;=($DX53+$DH$17)  ))   ,$DV53,  "")</f>
        <v/>
      </c>
      <c r="DC53" s="111" t="str">
        <f aca="false">IF(    OR(   AND($C53=10000000,    $A$17&lt;=DC$19,      ($A$17+$DH$17)&gt;DC$19    ),   AND($C53&lt;&gt;10000000,  DC$19&gt;=$DW53,    DC$19&lt;=($DX53+$DH$17)  ))   ,$DV53,  "")</f>
        <v/>
      </c>
      <c r="DD53" s="111" t="str">
        <f aca="false">IF(    OR(   AND($C53=10000000,    $A$17&lt;=DD$19,      ($A$17+$DH$17)&gt;DD$19    ),   AND($C53&lt;&gt;10000000,  DD$19&gt;=$DW53,    DD$19&lt;=($DX53+$DH$17)  ))   ,$DV53,  "")</f>
        <v/>
      </c>
      <c r="DE53" s="111" t="str">
        <f aca="false">IF(    OR(   AND($C53=10000000,    $A$17&lt;=DE$19,      ($A$17+$DH$17)&gt;DE$19    ),   AND($C53&lt;&gt;10000000,  DE$19&gt;=$DW53,    DE$19&lt;=($DX53+$DH$17)  ))   ,$DV53,  "")</f>
        <v/>
      </c>
      <c r="DF53" s="111" t="str">
        <f aca="false">IF(    OR(   AND($C53=10000000,    $A$17&lt;=DF$19,      ($A$17+$DH$17)&gt;DF$19    ),   AND($C53&lt;&gt;10000000,  DF$19&gt;=$DW53,    DF$19&lt;=($DX53+$DH$17)  ))   ,$DV53,  "")</f>
        <v/>
      </c>
      <c r="DG53" s="111" t="str">
        <f aca="false">IF(    OR(   AND($C53=10000000,    $A$17&lt;=DG$19,      ($A$17+$DH$17)&gt;DG$19    ),   AND($C53&lt;&gt;10000000,  DG$19&gt;=$DW53,    DG$19&lt;=($DX53+$DH$17)  ))   ,$DV53,  "")</f>
        <v/>
      </c>
      <c r="DH53" s="111" t="str">
        <f aca="false">IF(    OR(   AND($C53=10000000,    $A$17&lt;=DH$19,      ($A$17+$DH$17)&gt;DH$19    ),   AND($C53&lt;&gt;10000000,  DH$19&gt;=$DW53,    DH$19&lt;=($DX53+$DH$17)  ))   ,$DV53,  "")</f>
        <v/>
      </c>
      <c r="DI53" s="112" t="str">
        <f aca="false">IF(BB53="","",IF(ISERROR(FIND(CHAR(10),BB53,1)),BB53,LEFT(BB53,FIND(CHAR(10),BB53,1))))</f>
        <v/>
      </c>
      <c r="DJ53" s="53" t="str">
        <f aca="false">IF(BB53="","",IFERROR(RIGHT(BB53,LEN(BB53)-FIND("@@@",SUBSTITUTE(BB53,CHAR(10),"@@@",LEN(BB53)-LEN(SUBSTITUTE(BB53,CHAR(10),""))),1)),BB53))</f>
        <v/>
      </c>
      <c r="DK53" s="53" t="str">
        <f aca="false">IF(BC53="","",IFERROR(RIGHT(BC53,LEN(BC53)-FIND("@@@",SUBSTITUTE(BC53,CHAR(10),"@@@",LEN(BC53)-LEN(SUBSTITUTE(BC53,CHAR(10),""))),1)),BC53))</f>
        <v/>
      </c>
      <c r="DL53" s="113" t="str">
        <f aca="false">IFERROR(DATE(("20"&amp;MID(DI53,7,2))*1,MID(DI53,4,2)*1,MID(DI53,1,2)*1),"none")</f>
        <v>none</v>
      </c>
      <c r="DM53" s="113" t="str">
        <f aca="false">IFERROR(DATE(("20"&amp;MID(DJ53,7,2))*1,MID(DJ53,4,2)*1,MID(DJ53,1,2)*1),"none")</f>
        <v>none</v>
      </c>
      <c r="DN53" s="113" t="n">
        <f aca="false">IF(DL53&lt;&gt;"none",DL53,DATE(1900,1,1))</f>
        <v>2</v>
      </c>
      <c r="DO53" s="113" t="n">
        <f aca="false">IF(DM53&lt;&gt;"none",DM53,DN53)</f>
        <v>2</v>
      </c>
      <c r="DP53" s="114" t="n">
        <f aca="false">_xlfn.DAYS($A$17,DN53)</f>
        <v>45332</v>
      </c>
      <c r="DQ53" s="114" t="n">
        <f aca="false">_xlfn.DAYS($A$17, DO53)</f>
        <v>45332</v>
      </c>
      <c r="DR53" s="51" t="n">
        <f aca="false">IF(DO53&lt;&gt;"",INT(DQ53/7),0)</f>
        <v>6476</v>
      </c>
      <c r="DS53" s="114" t="n">
        <f aca="false">IF(M53="Overdue",_xlfn.DAYS($A$17,AL53),0)</f>
        <v>0</v>
      </c>
      <c r="DT53" s="114" t="n">
        <f aca="false">IF(AH53="Project",_xlfn.DAYS(AL53,$A$17),0)</f>
        <v>0</v>
      </c>
      <c r="DU53" s="51" t="str">
        <f aca="false">IFERROR(INDEX(Static!$D$5:$E$11,MATCH(AH53,Static!$D$5:$D$11,0),2),"")</f>
        <v/>
      </c>
      <c r="DV53" s="51" t="str">
        <f aca="false">IF(C53=10000000,"Red",IF(OR(C53=11000000,C53=12000000),"Black",IF(C53=11100000,"Dark",IF(AND(C53=12100000,M53="Completed"),"Green",IF(AND(C53=12100000,M53="Overdue"),"Red",IF(C53=12100000,"Dark",IF(AND(C53=12110000,M53="Overdue"),"LightRed",IF(AND(C53=12110000,M53="Completed"),"LightGreen",IF(OR(C53=11110000,C53=12110000),"Light",IF(AND(C53=12111000,M53="Overdue"),"SoftRed",IF(AND(C53=12111000,M53="Completed"),"SoftGreen",IF(OR(C53=11111000,C53=12111000),"Grey",""))))))))))))</f>
        <v/>
      </c>
      <c r="DW53" s="49" t="n">
        <f aca="false">IF(AK53&lt;&gt;"",AK53,$BI$19)</f>
        <v>44927</v>
      </c>
      <c r="DX53" s="49" t="n">
        <f aca="false">IF(AL53&lt;&gt;"",AL53,$DH$19)</f>
        <v>45657</v>
      </c>
      <c r="DY53" s="79" t="s">
        <v>450</v>
      </c>
    </row>
    <row r="54" customFormat="false" ht="14.15" hidden="false" customHeight="true" outlineLevel="0" collapsed="false">
      <c r="A54" s="63"/>
      <c r="B54" s="53" t="n">
        <f aca="false">AH54</f>
        <v>0</v>
      </c>
      <c r="C54" s="51" t="n">
        <f aca="false">IFERROR(INDEX(Static!$D$5:$F$11,MATCH(AH54,Static!$D$5:$D$11,0),3),90000000)</f>
        <v>90000000</v>
      </c>
      <c r="D54" s="51" t="str">
        <f aca="false">MID(C54,2,1)</f>
        <v>0</v>
      </c>
      <c r="E54" s="53" t="str">
        <f aca="false">AB54</f>
        <v/>
      </c>
      <c r="F54" s="51" t="str">
        <f aca="false">IF(B54="Venture",0,IF(OR(B54="Project",B54="Stream",B54="Action"),AK54,""))</f>
        <v/>
      </c>
      <c r="G54" s="51" t="n">
        <f aca="false">AS54</f>
        <v>0</v>
      </c>
      <c r="H54" s="51" t="str">
        <f aca="false">IF(B54="Venture",0,IFERROR(INDEX($E$20:$F$55,MATCH(G54,$E$20:$E$55,0),2),""))</f>
        <v/>
      </c>
      <c r="I54" s="51" t="str">
        <f aca="false">IF(B54="Venture",0,IFERROR(INDEX($E$20:$G$55,MATCH(G54,$E$20:$E$55,0),3),""))</f>
        <v/>
      </c>
      <c r="J54" s="51" t="str">
        <f aca="false">IF(B54="Venture",0,IFERROR(INDEX($E$20:$H$55,MATCH(G54,$E$20:$E$55,0),4),""))</f>
        <v/>
      </c>
      <c r="K54" s="51" t="n">
        <f aca="false">IF(B54="Venture",0,IFERROR(INDEX($E$20:$G$55,MATCH(I54,$E$20:$E$55,0),3),""))</f>
        <v>0</v>
      </c>
      <c r="L54" s="51" t="str">
        <f aca="false">IF(M54="Completed","Completed","Ongoing")</f>
        <v>Ongoing</v>
      </c>
      <c r="M54" s="51" t="n">
        <f aca="false">IF(OR(AH54="Venture",AH54="Routine",AH54="Run Goal", AH54="Chg Goal", AH54=""),AH54,IF(AN54&lt;&gt;"","Completed",IF(AM54&lt;&gt;"","Pending",IF(AND(AL54&lt;&gt;"",$A$17&gt;AL54),"Overdue",IF($A$17&gt;AK54,"Started","Open")))))</f>
        <v>0</v>
      </c>
      <c r="N54" s="50" t="n">
        <f aca="false">((LEN($BC54)-LEN(SUBSTITUTE($BC54,CHAR(10)&amp;". ","")))/3)+IF(LEFT(TRIM($BC54),2)=". ",1,0)</f>
        <v>0</v>
      </c>
      <c r="O54" s="50" t="n">
        <f aca="false">((LEN($BC54)-LEN(SUBSTITUTE($BC54,CHAR(10)&amp;"/ ","")))/3)+IF(LEFT(TRIM($BC54),2)="/ ",1,0)</f>
        <v>0</v>
      </c>
      <c r="P54" s="50" t="n">
        <f aca="false">((LEN($BC54)-LEN(SUBSTITUTE($BC54,CHAR(10)&amp;"~ ","")))/3)+IF(LEFT(TRIM($BC54),2)="~ ",1,0)</f>
        <v>0</v>
      </c>
      <c r="Q54" s="50" t="n">
        <f aca="false">((LEN($BC54)-LEN(SUBSTITUTE($BC54,CHAR(10)&amp;"! ","")))/3)+IF(LEFT(TRIM($BC54),2)="! ",1,0)</f>
        <v>0</v>
      </c>
      <c r="R54" s="50" t="n">
        <f aca="false">((LEN($BC54)-LEN(SUBSTITUTE($BC54,CHAR(10)&amp;"x ","")))/3)+IF(LEFT(TRIM($BC54),2)="x ",1,0)</f>
        <v>0</v>
      </c>
      <c r="S54" s="50" t="n">
        <f aca="false">SUM(N54:R54)</f>
        <v>0</v>
      </c>
      <c r="T54" s="51" t="n">
        <f aca="false">IF(OR($B54="Drill",$B54="Action"),$AO54,0)</f>
        <v>0</v>
      </c>
      <c r="U54" s="51" t="n">
        <f aca="false">IF(OR($B54="Sub",$B54="Stream"),$AO54+SUMIFS($AO$20:$AO$55,$G$20:$G$55,$E54),0)</f>
        <v>0</v>
      </c>
      <c r="V54" s="51" t="n">
        <f aca="false">IF(OR($B54="Routine",$B54="Project"),$AO54+SUMIFS($U$20:$U$55,$G$20:$G$55,$E54),0)</f>
        <v>0</v>
      </c>
      <c r="W54" s="51" t="n">
        <f aca="false">IF($B54="Venture",$AO54+SUMIFS($V$20:$V$55,$G$20:$G$55,$E54),0)</f>
        <v>0</v>
      </c>
      <c r="X54" s="51" t="n">
        <f aca="false">IF(OR($B54="Drill",$B54="Action"),$AP54,0)</f>
        <v>0</v>
      </c>
      <c r="Y54" s="51" t="n">
        <f aca="false">IF(OR($B54="Sub",$B54="Stream"),$AP54+SUMIFS($AP$20:$AP$55,$G$20:$G$55,$E54),0)</f>
        <v>0</v>
      </c>
      <c r="Z54" s="51" t="n">
        <f aca="false">IF(OR($B54="Routine",$B54="Project"),$AP54+SUMIFS($Y$20:$Y$55,$G$20:$G$55,$E54),0)</f>
        <v>0</v>
      </c>
      <c r="AA54" s="51" t="n">
        <f aca="false">IF($B54="Venture",$AP54+SUMIFS($Z$20:$Z$55,$G$20:$G$55,$E54),0)</f>
        <v>0</v>
      </c>
      <c r="AB54" s="51" t="str">
        <f aca="false">IF(OR(AH54="Venture", AH54="Run Goal", AH54="Chg Goal"),AI54,AH54&amp;AI54&amp;AR54)</f>
        <v/>
      </c>
      <c r="AC54" s="53" t="str">
        <f aca="false">"  -  "&amp;IF(C54=90000000,9&amp;"Z",D54&amp;AE54&amp;IF(OR(B54="Run Goal",B54="Chg Goal", B54="Venture"),"",IF(OR(B54="Routine",B54="Project"),F54&amp;E54,  IF(OR(B54="Sub",B54="Stream"),H54&amp;G54&amp;F54&amp;E54,IF(OR(B54="Drill",B54="Action"),J54&amp;I54&amp;H54&amp;G54&amp;F54&amp;E54,     "") )    )))</f>
        <v>  -  9Z</v>
      </c>
      <c r="AD54" s="51" t="str">
        <f aca="false">IF(AND(AM54="",AN54=""),"Y","N")</f>
        <v>Y</v>
      </c>
      <c r="AE54" s="103" t="str">
        <f aca="false">IF(OR(AF54="Y",AF54="Y"),AF54,IF(DM54="none","N",IF(DM54&gt;($A$17-WEEKDAY($A$17,2)-(7*$AE$18)),"Y","N")))</f>
        <v>N</v>
      </c>
      <c r="AF54" s="104"/>
      <c r="AG54" s="105"/>
      <c r="AH54" s="79"/>
      <c r="AI54" s="56"/>
      <c r="AJ54" s="56"/>
      <c r="AK54" s="106"/>
      <c r="AL54" s="106"/>
      <c r="AM54" s="106"/>
      <c r="AN54" s="106"/>
      <c r="AO54" s="107"/>
      <c r="AP54" s="107"/>
      <c r="AQ54" s="79"/>
      <c r="AR54" s="79"/>
      <c r="AS54" s="79"/>
      <c r="AT54" s="79"/>
      <c r="AU54" s="79"/>
      <c r="AV54" s="79"/>
      <c r="AW54" s="79"/>
      <c r="AX54" s="79"/>
      <c r="AY54" s="79"/>
      <c r="AZ54" s="79"/>
      <c r="BA54" s="63"/>
      <c r="BB54" s="63"/>
      <c r="BC54" s="63"/>
      <c r="BD54" s="51" t="n">
        <f aca="false">SUM(N54:Q54)</f>
        <v>0</v>
      </c>
      <c r="BE54" s="59" t="n">
        <f aca="false">IF(AI54="",1,IF(S54&lt;&gt;0,(O54*0.5+R54)/S54,1))</f>
        <v>1</v>
      </c>
      <c r="BF54" s="81" t="str">
        <f aca="false">IF(AH54="","",IF(AH54="Venture",W54,IF(OR(AH54="Chg Goal",AH54="RUn Goal"),V54,IF(OR(AH54="ROutine",AH54="Project"),V54,IF(OR(AH54="Sub",AH54="Stream"),U54,IF(OR(AH54="Drill",AH54="Action"),T54,0))))))</f>
        <v/>
      </c>
      <c r="BG54" s="81" t="str">
        <f aca="false">IF(AH54="","",IF(AH54="Venture",AA54,IF(OR(AH54="Chg Goal",AH54="RUn Goal"),Z54,IF(OR(AH54="ROutine",AH54="Project"),Z54,IF(OR(AH54="Sub",AH54="Stream"),Y54,IF(OR(AH54="Drill",AH54="Action"),X54,0))))))</f>
        <v/>
      </c>
      <c r="BH54" s="109" t="str">
        <f aca="false">IF(AI54="","",IF(OR(BF54=0, BF54=""),0,BG54/BF54))</f>
        <v/>
      </c>
      <c r="BI54" s="110" t="str">
        <f aca="false">IF(    OR(   AND($C54=10000000,    BI$19&gt;=$A$17,      BI$19 &lt;($A$17+$DH$17)   ),   AND($C54&lt;&gt;10000000,  BI$19&gt;=$DW54,    BI$19&lt;=($DX54+$DH$17)  ))   ,$DV54,  "")</f>
        <v/>
      </c>
      <c r="BJ54" s="111" t="str">
        <f aca="false">IF(    OR(   AND($C54=10000000,    $A$17&lt;=BJ$19,      ($A$17+$DH$17)&gt;BJ$19    ),   AND($C54&lt;&gt;10000000,  BJ$19&gt;=$DW54,    BJ$19&lt;=($DX54+$DH$17)  ))   ,$DV54,  "")</f>
        <v/>
      </c>
      <c r="BK54" s="111" t="str">
        <f aca="false">IF(    OR(   AND($C54=10000000,    $A$17&lt;=BK$19,      ($A$17+$DH$17)&gt;BK$19    ),   AND($C54&lt;&gt;10000000,  BK$19&gt;=$DW54,    BK$19&lt;=($DX54+$DH$17)  ))   ,$DV54,  "")</f>
        <v/>
      </c>
      <c r="BL54" s="111" t="str">
        <f aca="false">IF(    OR(   AND($C54=10000000,    $A$17&lt;=BL$19,      ($A$17+$DH$17)&gt;BL$19    ),   AND($C54&lt;&gt;10000000,  BL$19&gt;=$DW54,    BL$19&lt;=($DX54+$DH$17)  ))   ,$DV54,  "")</f>
        <v/>
      </c>
      <c r="BM54" s="111" t="str">
        <f aca="false">IF(    OR(   AND($C54=10000000,    $A$17&lt;=BM$19,      ($A$17+$DH$17)&gt;BM$19    ),   AND($C54&lt;&gt;10000000,  BM$19&gt;=$DW54,    BM$19&lt;=($DX54+$DH$17)  ))   ,$DV54,  "")</f>
        <v/>
      </c>
      <c r="BN54" s="111" t="str">
        <f aca="false">IF(    OR(   AND($C54=10000000,    $A$17&lt;=BN$19,      ($A$17+$DH$17)&gt;BN$19    ),   AND($C54&lt;&gt;10000000,  BN$19&gt;=$DW54,    BN$19&lt;=($DX54+$DH$17)  ))   ,$DV54,  "")</f>
        <v/>
      </c>
      <c r="BO54" s="111" t="str">
        <f aca="false">IF(    OR(   AND($C54=10000000,    $A$17&lt;=BO$19,      ($A$17+$DH$17)&gt;BO$19    ),   AND($C54&lt;&gt;10000000,  BO$19&gt;=$DW54,    BO$19&lt;=($DX54+$DH$17)  ))   ,$DV54,  "")</f>
        <v/>
      </c>
      <c r="BP54" s="111" t="str">
        <f aca="false">IF(    OR(   AND($C54=10000000,    $A$17&lt;=BP$19,      ($A$17+$DH$17)&gt;BP$19    ),   AND($C54&lt;&gt;10000000,  BP$19&gt;=$DW54,    BP$19&lt;=($DX54+$DH$17)  ))   ,$DV54,  "")</f>
        <v/>
      </c>
      <c r="BQ54" s="111" t="str">
        <f aca="false">IF(    OR(   AND($C54=10000000,    $A$17&lt;=BQ$19,      ($A$17+$DH$17)&gt;BQ$19    ),   AND($C54&lt;&gt;10000000,  BQ$19&gt;=$DW54,    BQ$19&lt;=($DX54+$DH$17)  ))   ,$DV54,  "")</f>
        <v/>
      </c>
      <c r="BR54" s="111" t="str">
        <f aca="false">IF(    OR(   AND($C54=10000000,    $A$17&lt;=BR$19,      ($A$17+$DH$17)&gt;BR$19    ),   AND($C54&lt;&gt;10000000,  BR$19&gt;=$DW54,    BR$19&lt;=($DX54+$DH$17)  ))   ,$DV54,  "")</f>
        <v/>
      </c>
      <c r="BS54" s="111" t="str">
        <f aca="false">IF(    OR(   AND($C54=10000000,    $A$17&lt;=BS$19,      ($A$17+$DH$17)&gt;BS$19    ),   AND($C54&lt;&gt;10000000,  BS$19&gt;=$DW54,    BS$19&lt;=($DX54+$DH$17)  ))   ,$DV54,  "")</f>
        <v/>
      </c>
      <c r="BT54" s="111" t="str">
        <f aca="false">IF(    OR(   AND($C54=10000000,    $A$17&lt;=BT$19,      ($A$17+$DH$17)&gt;BT$19    ),   AND($C54&lt;&gt;10000000,  BT$19&gt;=$DW54,    BT$19&lt;=($DX54+$DH$17)  ))   ,$DV54,  "")</f>
        <v/>
      </c>
      <c r="BU54" s="111" t="str">
        <f aca="false">IF(    OR(   AND($C54=10000000,    $A$17&lt;=BU$19,      ($A$17+$DH$17)&gt;BU$19    ),   AND($C54&lt;&gt;10000000,  BU$19&gt;=$DW54,    BU$19&lt;=($DX54+$DH$17)  ))   ,$DV54,  "")</f>
        <v/>
      </c>
      <c r="BV54" s="111" t="str">
        <f aca="false">IF(    OR(   AND($C54=10000000,    $A$17&lt;=BV$19,      ($A$17+$DH$17)&gt;BV$19    ),   AND($C54&lt;&gt;10000000,  BV$19&gt;=$DW54,    BV$19&lt;=($DX54+$DH$17)  ))   ,$DV54,  "")</f>
        <v/>
      </c>
      <c r="BW54" s="111" t="str">
        <f aca="false">IF(    OR(   AND($C54=10000000,    $A$17&lt;=BW$19,      ($A$17+$DH$17)&gt;BW$19    ),   AND($C54&lt;&gt;10000000,  BW$19&gt;=$DW54,    BW$19&lt;=($DX54+$DH$17)  ))   ,$DV54,  "")</f>
        <v/>
      </c>
      <c r="BX54" s="111" t="str">
        <f aca="false">IF(    OR(   AND($C54=10000000,    $A$17&lt;=BX$19,      ($A$17+$DH$17)&gt;BX$19    ),   AND($C54&lt;&gt;10000000,  BX$19&gt;=$DW54,    BX$19&lt;=($DX54+$DH$17)  ))   ,$DV54,  "")</f>
        <v/>
      </c>
      <c r="BY54" s="111" t="str">
        <f aca="false">IF(    OR(   AND($C54=10000000,    $A$17&lt;=BY$19,      ($A$17+$DH$17)&gt;BY$19    ),   AND($C54&lt;&gt;10000000,  BY$19&gt;=$DW54,    BY$19&lt;=($DX54+$DH$17)  ))   ,$DV54,  "")</f>
        <v/>
      </c>
      <c r="BZ54" s="111" t="str">
        <f aca="false">IF(    OR(   AND($C54=10000000,    $A$17&lt;=BZ$19,      ($A$17+$DH$17)&gt;BZ$19    ),   AND($C54&lt;&gt;10000000,  BZ$19&gt;=$DW54,    BZ$19&lt;=($DX54+$DH$17)  ))   ,$DV54,  "")</f>
        <v/>
      </c>
      <c r="CA54" s="111" t="str">
        <f aca="false">IF(    OR(   AND($C54=10000000,    $A$17&lt;=CA$19,      ($A$17+$DH$17)&gt;CA$19    ),   AND($C54&lt;&gt;10000000,  CA$19&gt;=$DW54,    CA$19&lt;=($DX54+$DH$17)  ))   ,$DV54,  "")</f>
        <v/>
      </c>
      <c r="CB54" s="111" t="str">
        <f aca="false">IF(    OR(   AND($C54=10000000,    $A$17&lt;=CB$19,      ($A$17+$DH$17)&gt;CB$19    ),   AND($C54&lt;&gt;10000000,  CB$19&gt;=$DW54,    CB$19&lt;=($DX54+$DH$17)  ))   ,$DV54,  "")</f>
        <v/>
      </c>
      <c r="CC54" s="111" t="str">
        <f aca="false">IF(    OR(   AND($C54=10000000,    $A$17&lt;=CC$19,      ($A$17+$DH$17)&gt;CC$19    ),   AND($C54&lt;&gt;10000000,  CC$19&gt;=$DW54,    CC$19&lt;=($DX54+$DH$17)  ))   ,$DV54,  "")</f>
        <v/>
      </c>
      <c r="CD54" s="111" t="str">
        <f aca="false">IF(    OR(   AND($C54=10000000,    $A$17&lt;=CD$19,      ($A$17+$DH$17)&gt;CD$19    ),   AND($C54&lt;&gt;10000000,  CD$19&gt;=$DW54,    CD$19&lt;=($DX54+$DH$17)  ))   ,$DV54,  "")</f>
        <v/>
      </c>
      <c r="CE54" s="111" t="str">
        <f aca="false">IF(    OR(   AND($C54=10000000,    $A$17&lt;=CE$19,      ($A$17+$DH$17)&gt;CE$19    ),   AND($C54&lt;&gt;10000000,  CE$19&gt;=$DW54,    CE$19&lt;=($DX54+$DH$17)  ))   ,$DV54,  "")</f>
        <v/>
      </c>
      <c r="CF54" s="111" t="str">
        <f aca="false">IF(    OR(   AND($C54=10000000,    $A$17&lt;=CF$19,      ($A$17+$DH$17)&gt;CF$19    ),   AND($C54&lt;&gt;10000000,  CF$19&gt;=$DW54,    CF$19&lt;=($DX54+$DH$17)  ))   ,$DV54,  "")</f>
        <v/>
      </c>
      <c r="CG54" s="111" t="str">
        <f aca="false">IF(    OR(   AND($C54=10000000,    $A$17&lt;=CG$19,      ($A$17+$DH$17)&gt;CG$19    ),   AND($C54&lt;&gt;10000000,  CG$19&gt;=$DW54,    CG$19&lt;=($DX54+$DH$17)  ))   ,$DV54,  "")</f>
        <v/>
      </c>
      <c r="CH54" s="111" t="str">
        <f aca="false">IF(    OR(   AND($C54=10000000,    $A$17&lt;=CH$19,      ($A$17+$DH$17)&gt;CH$19    ),   AND($C54&lt;&gt;10000000,  CH$19&gt;=$DW54,    CH$19&lt;=($DX54+$DH$17)  ))   ,$DV54,  "")</f>
        <v/>
      </c>
      <c r="CI54" s="111" t="str">
        <f aca="false">IF(    OR(   AND($C54=10000000,    $A$17&lt;=CI$19,      ($A$17+$DH$17)&gt;CI$19    ),   AND($C54&lt;&gt;10000000,  CI$19&gt;=$DW54,    CI$19&lt;=($DX54+$DH$17)  ))   ,$DV54,  "")</f>
        <v/>
      </c>
      <c r="CJ54" s="111" t="str">
        <f aca="false">IF(    OR(   AND($C54=10000000,    $A$17&lt;=CJ$19,      ($A$17+$DH$17)&gt;CJ$19    ),   AND($C54&lt;&gt;10000000,  CJ$19&gt;=$DW54,    CJ$19&lt;=($DX54+$DH$17)  ))   ,$DV54,  "")</f>
        <v/>
      </c>
      <c r="CK54" s="111" t="str">
        <f aca="false">IF(    OR(   AND($C54=10000000,    $A$17&lt;=CK$19,      ($A$17+$DH$17)&gt;CK$19    ),   AND($C54&lt;&gt;10000000,  CK$19&gt;=$DW54,    CK$19&lt;=($DX54+$DH$17)  ))   ,$DV54,  "")</f>
        <v/>
      </c>
      <c r="CL54" s="111" t="str">
        <f aca="false">IF(    OR(   AND($C54=10000000,    $A$17&lt;=CL$19,      ($A$17+$DH$17)&gt;CL$19    ),   AND($C54&lt;&gt;10000000,  CL$19&gt;=$DW54,    CL$19&lt;=($DX54+$DH$17)  ))   ,$DV54,  "")</f>
        <v/>
      </c>
      <c r="CM54" s="111" t="str">
        <f aca="false">IF(    OR(   AND($C54=10000000,    $A$17&lt;=CM$19,      ($A$17+$DH$17)&gt;CM$19    ),   AND($C54&lt;&gt;10000000,  CM$19&gt;=$DW54,    CM$19&lt;=($DX54+$DH$17)  ))   ,$DV54,  "")</f>
        <v/>
      </c>
      <c r="CN54" s="111" t="str">
        <f aca="false">IF(    OR(   AND($C54=10000000,    $A$17&lt;=CN$19,      ($A$17+$DH$17)&gt;CN$19    ),   AND($C54&lt;&gt;10000000,  CN$19&gt;=$DW54,    CN$19&lt;=($DX54+$DH$17)  ))   ,$DV54,  "")</f>
        <v/>
      </c>
      <c r="CO54" s="111" t="str">
        <f aca="false">IF(    OR(   AND($C54=10000000,    $A$17&lt;=CO$19,      ($A$17+$DH$17)&gt;CO$19    ),   AND($C54&lt;&gt;10000000,  CO$19&gt;=$DW54,    CO$19&lt;=($DX54+$DH$17)  ))   ,$DV54,  "")</f>
        <v/>
      </c>
      <c r="CP54" s="111" t="str">
        <f aca="false">IF(    OR(   AND($C54=10000000,    $A$17&lt;=CP$19,      ($A$17+$DH$17)&gt;CP$19    ),   AND($C54&lt;&gt;10000000,  CP$19&gt;=$DW54,    CP$19&lt;=($DX54+$DH$17)  ))   ,$DV54,  "")</f>
        <v/>
      </c>
      <c r="CQ54" s="111" t="str">
        <f aca="false">IF(    OR(   AND($C54=10000000,    $A$17&lt;=CQ$19,      ($A$17+$DH$17)&gt;CQ$19    ),   AND($C54&lt;&gt;10000000,  CQ$19&gt;=$DW54,    CQ$19&lt;=($DX54+$DH$17)  ))   ,$DV54,  "")</f>
        <v/>
      </c>
      <c r="CR54" s="111" t="str">
        <f aca="false">IF(    OR(   AND($C54=10000000,    $A$17&lt;=CR$19,      ($A$17+$DH$17)&gt;CR$19    ),   AND($C54&lt;&gt;10000000,  CR$19&gt;=$DW54,    CR$19&lt;=($DX54+$DH$17)  ))   ,$DV54,  "")</f>
        <v/>
      </c>
      <c r="CS54" s="111" t="str">
        <f aca="false">IF(    OR(   AND($C54=10000000,    $A$17&lt;=CS$19,      ($A$17+$DH$17)&gt;CS$19    ),   AND($C54&lt;&gt;10000000,  CS$19&gt;=$DW54,    CS$19&lt;=($DX54+$DH$17)  ))   ,$DV54,  "")</f>
        <v/>
      </c>
      <c r="CT54" s="111" t="str">
        <f aca="false">IF(    OR(   AND($C54=10000000,    $A$17&lt;=CT$19,      ($A$17+$DH$17)&gt;CT$19    ),   AND($C54&lt;&gt;10000000,  CT$19&gt;=$DW54,    CT$19&lt;=($DX54+$DH$17)  ))   ,$DV54,  "")</f>
        <v/>
      </c>
      <c r="CU54" s="111" t="str">
        <f aca="false">IF(    OR(   AND($C54=10000000,    $A$17&lt;=CU$19,      ($A$17+$DH$17)&gt;CU$19    ),   AND($C54&lt;&gt;10000000,  CU$19&gt;=$DW54,    CU$19&lt;=($DX54+$DH$17)  ))   ,$DV54,  "")</f>
        <v/>
      </c>
      <c r="CV54" s="111" t="str">
        <f aca="false">IF(    OR(   AND($C54=10000000,    $A$17&lt;=CV$19,      ($A$17+$DH$17)&gt;CV$19    ),   AND($C54&lt;&gt;10000000,  CV$19&gt;=$DW54,    CV$19&lt;=($DX54+$DH$17)  ))   ,$DV54,  "")</f>
        <v/>
      </c>
      <c r="CW54" s="111" t="str">
        <f aca="false">IF(    OR(   AND($C54=10000000,    $A$17&lt;=CW$19,      ($A$17+$DH$17)&gt;CW$19    ),   AND($C54&lt;&gt;10000000,  CW$19&gt;=$DW54,    CW$19&lt;=($DX54+$DH$17)  ))   ,$DV54,  "")</f>
        <v/>
      </c>
      <c r="CX54" s="111" t="str">
        <f aca="false">IF(    OR(   AND($C54=10000000,    $A$17&lt;=CX$19,      ($A$17+$DH$17)&gt;CX$19    ),   AND($C54&lt;&gt;10000000,  CX$19&gt;=$DW54,    CX$19&lt;=($DX54+$DH$17)  ))   ,$DV54,  "")</f>
        <v/>
      </c>
      <c r="CY54" s="111" t="str">
        <f aca="false">IF(    OR(   AND($C54=10000000,    $A$17&lt;=CY$19,      ($A$17+$DH$17)&gt;CY$19    ),   AND($C54&lt;&gt;10000000,  CY$19&gt;=$DW54,    CY$19&lt;=($DX54+$DH$17)  ))   ,$DV54,  "")</f>
        <v/>
      </c>
      <c r="CZ54" s="111" t="str">
        <f aca="false">IF(    OR(   AND($C54=10000000,    $A$17&lt;=CZ$19,      ($A$17+$DH$17)&gt;CZ$19    ),   AND($C54&lt;&gt;10000000,  CZ$19&gt;=$DW54,    CZ$19&lt;=($DX54+$DH$17)  ))   ,$DV54,  "")</f>
        <v/>
      </c>
      <c r="DA54" s="111" t="str">
        <f aca="false">IF(    OR(   AND($C54=10000000,    $A$17&lt;=DA$19,      ($A$17+$DH$17)&gt;DA$19    ),   AND($C54&lt;&gt;10000000,  DA$19&gt;=$DW54,    DA$19&lt;=($DX54+$DH$17)  ))   ,$DV54,  "")</f>
        <v/>
      </c>
      <c r="DB54" s="111" t="str">
        <f aca="false">IF(    OR(   AND($C54=10000000,    $A$17&lt;=DB$19,      ($A$17+$DH$17)&gt;DB$19    ),   AND($C54&lt;&gt;10000000,  DB$19&gt;=$DW54,    DB$19&lt;=($DX54+$DH$17)  ))   ,$DV54,  "")</f>
        <v/>
      </c>
      <c r="DC54" s="111" t="str">
        <f aca="false">IF(    OR(   AND($C54=10000000,    $A$17&lt;=DC$19,      ($A$17+$DH$17)&gt;DC$19    ),   AND($C54&lt;&gt;10000000,  DC$19&gt;=$DW54,    DC$19&lt;=($DX54+$DH$17)  ))   ,$DV54,  "")</f>
        <v/>
      </c>
      <c r="DD54" s="111" t="str">
        <f aca="false">IF(    OR(   AND($C54=10000000,    $A$17&lt;=DD$19,      ($A$17+$DH$17)&gt;DD$19    ),   AND($C54&lt;&gt;10000000,  DD$19&gt;=$DW54,    DD$19&lt;=($DX54+$DH$17)  ))   ,$DV54,  "")</f>
        <v/>
      </c>
      <c r="DE54" s="111" t="str">
        <f aca="false">IF(    OR(   AND($C54=10000000,    $A$17&lt;=DE$19,      ($A$17+$DH$17)&gt;DE$19    ),   AND($C54&lt;&gt;10000000,  DE$19&gt;=$DW54,    DE$19&lt;=($DX54+$DH$17)  ))   ,$DV54,  "")</f>
        <v/>
      </c>
      <c r="DF54" s="111" t="str">
        <f aca="false">IF(    OR(   AND($C54=10000000,    $A$17&lt;=DF$19,      ($A$17+$DH$17)&gt;DF$19    ),   AND($C54&lt;&gt;10000000,  DF$19&gt;=$DW54,    DF$19&lt;=($DX54+$DH$17)  ))   ,$DV54,  "")</f>
        <v/>
      </c>
      <c r="DG54" s="111" t="str">
        <f aca="false">IF(    OR(   AND($C54=10000000,    $A$17&lt;=DG$19,      ($A$17+$DH$17)&gt;DG$19    ),   AND($C54&lt;&gt;10000000,  DG$19&gt;=$DW54,    DG$19&lt;=($DX54+$DH$17)  ))   ,$DV54,  "")</f>
        <v/>
      </c>
      <c r="DH54" s="111" t="str">
        <f aca="false">IF(    OR(   AND($C54=10000000,    $A$17&lt;=DH$19,      ($A$17+$DH$17)&gt;DH$19    ),   AND($C54&lt;&gt;10000000,  DH$19&gt;=$DW54,    DH$19&lt;=($DX54+$DH$17)  ))   ,$DV54,  "")</f>
        <v/>
      </c>
      <c r="DI54" s="112" t="str">
        <f aca="false">IF(BB54="","",IF(ISERROR(FIND(CHAR(10),BB54,1)),BB54,LEFT(BB54,FIND(CHAR(10),BB54,1))))</f>
        <v/>
      </c>
      <c r="DJ54" s="53" t="str">
        <f aca="false">IF(BB54="","",IFERROR(RIGHT(BB54,LEN(BB54)-FIND("@@@",SUBSTITUTE(BB54,CHAR(10),"@@@",LEN(BB54)-LEN(SUBSTITUTE(BB54,CHAR(10),""))),1)),BB54))</f>
        <v/>
      </c>
      <c r="DK54" s="53" t="str">
        <f aca="false">IF(BC54="","",IFERROR(RIGHT(BC54,LEN(BC54)-FIND("@@@",SUBSTITUTE(BC54,CHAR(10),"@@@",LEN(BC54)-LEN(SUBSTITUTE(BC54,CHAR(10),""))),1)),BC54))</f>
        <v/>
      </c>
      <c r="DL54" s="113" t="str">
        <f aca="false">IFERROR(DATE(("20"&amp;MID(DI54,7,2))*1,MID(DI54,4,2)*1,MID(DI54,1,2)*1),"none")</f>
        <v>none</v>
      </c>
      <c r="DM54" s="113" t="str">
        <f aca="false">IFERROR(DATE(("20"&amp;MID(DJ54,7,2))*1,MID(DJ54,4,2)*1,MID(DJ54,1,2)*1),"none")</f>
        <v>none</v>
      </c>
      <c r="DN54" s="113" t="n">
        <f aca="false">IF(DL54&lt;&gt;"none",DL54,DATE(1900,1,1))</f>
        <v>2</v>
      </c>
      <c r="DO54" s="113" t="n">
        <f aca="false">IF(DM54&lt;&gt;"none",DM54,DN54)</f>
        <v>2</v>
      </c>
      <c r="DP54" s="114" t="n">
        <f aca="false">_xlfn.DAYS($A$17,DN54)</f>
        <v>45332</v>
      </c>
      <c r="DQ54" s="114" t="n">
        <f aca="false">_xlfn.DAYS($A$17, DO54)</f>
        <v>45332</v>
      </c>
      <c r="DR54" s="51" t="n">
        <f aca="false">IF(DO54&lt;&gt;"",INT(DQ54/7),0)</f>
        <v>6476</v>
      </c>
      <c r="DS54" s="114" t="n">
        <f aca="false">IF(M54="Overdue",_xlfn.DAYS($A$17,AL54),0)</f>
        <v>0</v>
      </c>
      <c r="DT54" s="114" t="n">
        <f aca="false">IF(AH54="Project",_xlfn.DAYS(AL54,$A$17),0)</f>
        <v>0</v>
      </c>
      <c r="DU54" s="51" t="str">
        <f aca="false">IFERROR(INDEX(Static!$D$5:$E$11,MATCH(AH54,Static!$D$5:$D$11,0),2),"")</f>
        <v/>
      </c>
      <c r="DV54" s="51" t="str">
        <f aca="false">IF(C54=10000000,"Red",IF(OR(C54=11000000,C54=12000000),"Black",IF(C54=11100000,"Dark",IF(AND(C54=12100000,M54="Completed"),"Green",IF(AND(C54=12100000,M54="Overdue"),"Red",IF(C54=12100000,"Dark",IF(AND(C54=12110000,M54="Overdue"),"LightRed",IF(AND(C54=12110000,M54="Completed"),"LightGreen",IF(OR(C54=11110000,C54=12110000),"Light",IF(AND(C54=12111000,M54="Overdue"),"SoftRed",IF(AND(C54=12111000,M54="Completed"),"SoftGreen",IF(OR(C54=11111000,C54=12111000),"Grey",""))))))))))))</f>
        <v/>
      </c>
      <c r="DW54" s="49" t="n">
        <f aca="false">IF(AK54&lt;&gt;"",AK54,$BI$19)</f>
        <v>44927</v>
      </c>
      <c r="DX54" s="49" t="n">
        <f aca="false">IF(AL54&lt;&gt;"",AL54,$DH$19)</f>
        <v>45657</v>
      </c>
      <c r="DY54" s="79" t="s">
        <v>450</v>
      </c>
    </row>
    <row r="55" customFormat="false" ht="14.15" hidden="false" customHeight="true" outlineLevel="0" collapsed="false">
      <c r="A55" s="63"/>
      <c r="B55" s="53" t="n">
        <f aca="false">AH55</f>
        <v>0</v>
      </c>
      <c r="C55" s="51" t="n">
        <f aca="false">IFERROR(INDEX(Static!$D$5:$F$11,MATCH(AH55,Static!$D$5:$D$11,0),3),90000000)</f>
        <v>90000000</v>
      </c>
      <c r="D55" s="51" t="str">
        <f aca="false">MID(C55,2,1)</f>
        <v>0</v>
      </c>
      <c r="E55" s="53" t="str">
        <f aca="false">AB55</f>
        <v/>
      </c>
      <c r="F55" s="51" t="str">
        <f aca="false">IF(B55="Venture",0,IF(OR(B55="Project",B55="Stream",B55="Action"),AK55,""))</f>
        <v/>
      </c>
      <c r="G55" s="51" t="n">
        <f aca="false">AS55</f>
        <v>0</v>
      </c>
      <c r="H55" s="51" t="str">
        <f aca="false">IF(B55="Venture",0,IFERROR(INDEX($E$20:$F$55,MATCH(G55,$E$20:$E$55,0),2),""))</f>
        <v/>
      </c>
      <c r="I55" s="51" t="str">
        <f aca="false">IF(B55="Venture",0,IFERROR(INDEX($E$20:$G$55,MATCH(G55,$E$20:$E$55,0),3),""))</f>
        <v/>
      </c>
      <c r="J55" s="51" t="str">
        <f aca="false">IF(B55="Venture",0,IFERROR(INDEX($E$20:$H$55,MATCH(G55,$E$20:$E$55,0),4),""))</f>
        <v/>
      </c>
      <c r="K55" s="51" t="n">
        <f aca="false">IF(B55="Venture",0,IFERROR(INDEX($E$20:$G$55,MATCH(I55,$E$20:$E$55,0),3),""))</f>
        <v>0</v>
      </c>
      <c r="L55" s="51" t="str">
        <f aca="false">IF(M55="Completed","Completed","Ongoing")</f>
        <v>Ongoing</v>
      </c>
      <c r="M55" s="51" t="n">
        <f aca="false">IF(OR(AH55="Venture",AH55="Routine",AH55="Run Goal", AH55="Chg Goal", AH55=""),AH55,IF(AN55&lt;&gt;"","Completed",IF(AM55&lt;&gt;"","Pending",IF(AND(AL55&lt;&gt;"",$A$17&gt;AL55),"Overdue",IF($A$17&gt;AK55,"Started","Open")))))</f>
        <v>0</v>
      </c>
      <c r="N55" s="50" t="n">
        <f aca="false">((LEN($BC55)-LEN(SUBSTITUTE($BC55,CHAR(10)&amp;". ","")))/3)+IF(LEFT(TRIM($BC55),2)=". ",1,0)</f>
        <v>0</v>
      </c>
      <c r="O55" s="50" t="n">
        <f aca="false">((LEN($BC55)-LEN(SUBSTITUTE($BC55,CHAR(10)&amp;"/ ","")))/3)+IF(LEFT(TRIM($BC55),2)="/ ",1,0)</f>
        <v>0</v>
      </c>
      <c r="P55" s="50" t="n">
        <f aca="false">((LEN($BC55)-LEN(SUBSTITUTE($BC55,CHAR(10)&amp;"~ ","")))/3)+IF(LEFT(TRIM($BC55),2)="~ ",1,0)</f>
        <v>0</v>
      </c>
      <c r="Q55" s="50" t="n">
        <f aca="false">((LEN($BC55)-LEN(SUBSTITUTE($BC55,CHAR(10)&amp;"! ","")))/3)+IF(LEFT(TRIM($BC55),2)="! ",1,0)</f>
        <v>0</v>
      </c>
      <c r="R55" s="50" t="n">
        <f aca="false">((LEN($BC55)-LEN(SUBSTITUTE($BC55,CHAR(10)&amp;"x ","")))/3)+IF(LEFT(TRIM($BC55),2)="x ",1,0)</f>
        <v>0</v>
      </c>
      <c r="S55" s="50" t="n">
        <f aca="false">SUM(N55:R55)</f>
        <v>0</v>
      </c>
      <c r="T55" s="51" t="n">
        <f aca="false">IF(OR($B55="Drill",$B55="Action"),$AO55,0)</f>
        <v>0</v>
      </c>
      <c r="U55" s="51" t="n">
        <f aca="false">IF(OR($B55="Sub",$B55="Stream"),$AO55+SUMIFS($AO$20:$AO$55,$G$20:$G$55,$E55),0)</f>
        <v>0</v>
      </c>
      <c r="V55" s="51" t="n">
        <f aca="false">IF(OR($B55="Routine",$B55="Project"),$AO55+SUMIFS($U$20:$U$55,$G$20:$G$55,$E55),0)</f>
        <v>0</v>
      </c>
      <c r="W55" s="51" t="n">
        <f aca="false">IF($B55="Venture",$AO55+SUMIFS($V$20:$V$55,$G$20:$G$55,$E55),0)</f>
        <v>0</v>
      </c>
      <c r="X55" s="51" t="n">
        <f aca="false">IF(OR($B55="Drill",$B55="Action"),$AP55,0)</f>
        <v>0</v>
      </c>
      <c r="Y55" s="51" t="n">
        <f aca="false">IF(OR($B55="Sub",$B55="Stream"),$AP55+SUMIFS($AP$20:$AP$55,$G$20:$G$55,$E55),0)</f>
        <v>0</v>
      </c>
      <c r="Z55" s="51" t="n">
        <f aca="false">IF(OR($B55="Routine",$B55="Project"),$AP55+SUMIFS($Y$20:$Y$55,$G$20:$G$55,$E55),0)</f>
        <v>0</v>
      </c>
      <c r="AA55" s="51" t="n">
        <f aca="false">IF($B55="Venture",$AP55+SUMIFS($Z$20:$Z$55,$G$20:$G$55,$E55),0)</f>
        <v>0</v>
      </c>
      <c r="AB55" s="51" t="str">
        <f aca="false">IF(OR(AH55="Venture", AH55="Run Goal", AH55="Chg Goal"),AI55,AH55&amp;AI55&amp;AR55)</f>
        <v/>
      </c>
      <c r="AC55" s="53" t="str">
        <f aca="false">"  -  "&amp;IF(C55=90000000,9&amp;"Z",D55&amp;AE55&amp;IF(OR(B55="Run Goal",B55="Chg Goal", B55="Venture"),"",IF(OR(B55="Routine",B55="Project"),F55&amp;E55,  IF(OR(B55="Sub",B55="Stream"),H55&amp;G55&amp;F55&amp;E55,IF(OR(B55="Drill",B55="Action"),J55&amp;I55&amp;H55&amp;G55&amp;F55&amp;E55,     "") )    )))</f>
        <v>  -  9Z</v>
      </c>
      <c r="AD55" s="51" t="str">
        <f aca="false">IF(AND(AM55="",AN55=""),"Y","N")</f>
        <v>Y</v>
      </c>
      <c r="AE55" s="103" t="str">
        <f aca="false">IF(OR(AF55="Y",AF55="Y"),AF55,IF(DM55="none","N",IF(DM55&gt;($A$17-WEEKDAY($A$17,2)-(7*$AE$18)),"Y","N")))</f>
        <v>N</v>
      </c>
      <c r="AF55" s="104"/>
      <c r="AG55" s="105"/>
      <c r="AH55" s="79"/>
      <c r="AI55" s="56"/>
      <c r="AJ55" s="56"/>
      <c r="AK55" s="106"/>
      <c r="AL55" s="106"/>
      <c r="AM55" s="106"/>
      <c r="AN55" s="106"/>
      <c r="AO55" s="107"/>
      <c r="AP55" s="107"/>
      <c r="AQ55" s="79"/>
      <c r="AR55" s="79"/>
      <c r="AS55" s="79"/>
      <c r="AT55" s="79"/>
      <c r="AU55" s="79"/>
      <c r="AV55" s="79"/>
      <c r="AW55" s="79"/>
      <c r="AX55" s="79"/>
      <c r="AY55" s="79"/>
      <c r="AZ55" s="79"/>
      <c r="BA55" s="63"/>
      <c r="BB55" s="63"/>
      <c r="BC55" s="63"/>
      <c r="BD55" s="51" t="n">
        <f aca="false">SUM(N55:Q55)</f>
        <v>0</v>
      </c>
      <c r="BE55" s="59" t="n">
        <f aca="false">IF(AI55="",1,IF(S55&lt;&gt;0,(O55*0.5+R55)/S55,1))</f>
        <v>1</v>
      </c>
      <c r="BF55" s="81" t="str">
        <f aca="false">IF(AH55="","",IF(AH55="Venture",W55,IF(OR(AH55="Chg Goal",AH55="RUn Goal"),V55,IF(OR(AH55="ROutine",AH55="Project"),V55,IF(OR(AH55="Sub",AH55="Stream"),U55,IF(OR(AH55="Drill",AH55="Action"),T55,0))))))</f>
        <v/>
      </c>
      <c r="BG55" s="81" t="str">
        <f aca="false">IF(AH55="","",IF(AH55="Venture",AA55,IF(OR(AH55="Chg Goal",AH55="RUn Goal"),Z55,IF(OR(AH55="ROutine",AH55="Project"),Z55,IF(OR(AH55="Sub",AH55="Stream"),Y55,IF(OR(AH55="Drill",AH55="Action"),X55,0))))))</f>
        <v/>
      </c>
      <c r="BH55" s="109" t="str">
        <f aca="false">IF(AI55="","",IF(OR(BF55=0, BF55=""),0,BG55/BF55))</f>
        <v/>
      </c>
      <c r="BI55" s="110" t="str">
        <f aca="false">IF(    OR(   AND($C55=10000000,    BI$19&gt;=$A$17,      BI$19 &lt;($A$17+$DH$17)   ),   AND($C55&lt;&gt;10000000,  BI$19&gt;=$DW55,    BI$19&lt;=($DX55+$DH$17)  ))   ,$DV55,  "")</f>
        <v/>
      </c>
      <c r="BJ55" s="111" t="str">
        <f aca="false">IF(    OR(   AND($C55=10000000,    $A$17&lt;=BJ$19,      ($A$17+$DH$17)&gt;BJ$19    ),   AND($C55&lt;&gt;10000000,  BJ$19&gt;=$DW55,    BJ$19&lt;=($DX55+$DH$17)  ))   ,$DV55,  "")</f>
        <v/>
      </c>
      <c r="BK55" s="111" t="str">
        <f aca="false">IF(    OR(   AND($C55=10000000,    $A$17&lt;=BK$19,      ($A$17+$DH$17)&gt;BK$19    ),   AND($C55&lt;&gt;10000000,  BK$19&gt;=$DW55,    BK$19&lt;=($DX55+$DH$17)  ))   ,$DV55,  "")</f>
        <v/>
      </c>
      <c r="BL55" s="111" t="str">
        <f aca="false">IF(    OR(   AND($C55=10000000,    $A$17&lt;=BL$19,      ($A$17+$DH$17)&gt;BL$19    ),   AND($C55&lt;&gt;10000000,  BL$19&gt;=$DW55,    BL$19&lt;=($DX55+$DH$17)  ))   ,$DV55,  "")</f>
        <v/>
      </c>
      <c r="BM55" s="111" t="str">
        <f aca="false">IF(    OR(   AND($C55=10000000,    $A$17&lt;=BM$19,      ($A$17+$DH$17)&gt;BM$19    ),   AND($C55&lt;&gt;10000000,  BM$19&gt;=$DW55,    BM$19&lt;=($DX55+$DH$17)  ))   ,$DV55,  "")</f>
        <v/>
      </c>
      <c r="BN55" s="111" t="str">
        <f aca="false">IF(    OR(   AND($C55=10000000,    $A$17&lt;=BN$19,      ($A$17+$DH$17)&gt;BN$19    ),   AND($C55&lt;&gt;10000000,  BN$19&gt;=$DW55,    BN$19&lt;=($DX55+$DH$17)  ))   ,$DV55,  "")</f>
        <v/>
      </c>
      <c r="BO55" s="111" t="str">
        <f aca="false">IF(    OR(   AND($C55=10000000,    $A$17&lt;=BO$19,      ($A$17+$DH$17)&gt;BO$19    ),   AND($C55&lt;&gt;10000000,  BO$19&gt;=$DW55,    BO$19&lt;=($DX55+$DH$17)  ))   ,$DV55,  "")</f>
        <v/>
      </c>
      <c r="BP55" s="111" t="str">
        <f aca="false">IF(    OR(   AND($C55=10000000,    $A$17&lt;=BP$19,      ($A$17+$DH$17)&gt;BP$19    ),   AND($C55&lt;&gt;10000000,  BP$19&gt;=$DW55,    BP$19&lt;=($DX55+$DH$17)  ))   ,$DV55,  "")</f>
        <v/>
      </c>
      <c r="BQ55" s="111" t="str">
        <f aca="false">IF(    OR(   AND($C55=10000000,    $A$17&lt;=BQ$19,      ($A$17+$DH$17)&gt;BQ$19    ),   AND($C55&lt;&gt;10000000,  BQ$19&gt;=$DW55,    BQ$19&lt;=($DX55+$DH$17)  ))   ,$DV55,  "")</f>
        <v/>
      </c>
      <c r="BR55" s="111" t="str">
        <f aca="false">IF(    OR(   AND($C55=10000000,    $A$17&lt;=BR$19,      ($A$17+$DH$17)&gt;BR$19    ),   AND($C55&lt;&gt;10000000,  BR$19&gt;=$DW55,    BR$19&lt;=($DX55+$DH$17)  ))   ,$DV55,  "")</f>
        <v/>
      </c>
      <c r="BS55" s="111" t="str">
        <f aca="false">IF(    OR(   AND($C55=10000000,    $A$17&lt;=BS$19,      ($A$17+$DH$17)&gt;BS$19    ),   AND($C55&lt;&gt;10000000,  BS$19&gt;=$DW55,    BS$19&lt;=($DX55+$DH$17)  ))   ,$DV55,  "")</f>
        <v/>
      </c>
      <c r="BT55" s="111" t="str">
        <f aca="false">IF(    OR(   AND($C55=10000000,    $A$17&lt;=BT$19,      ($A$17+$DH$17)&gt;BT$19    ),   AND($C55&lt;&gt;10000000,  BT$19&gt;=$DW55,    BT$19&lt;=($DX55+$DH$17)  ))   ,$DV55,  "")</f>
        <v/>
      </c>
      <c r="BU55" s="111" t="str">
        <f aca="false">IF(    OR(   AND($C55=10000000,    $A$17&lt;=BU$19,      ($A$17+$DH$17)&gt;BU$19    ),   AND($C55&lt;&gt;10000000,  BU$19&gt;=$DW55,    BU$19&lt;=($DX55+$DH$17)  ))   ,$DV55,  "")</f>
        <v/>
      </c>
      <c r="BV55" s="111" t="str">
        <f aca="false">IF(    OR(   AND($C55=10000000,    $A$17&lt;=BV$19,      ($A$17+$DH$17)&gt;BV$19    ),   AND($C55&lt;&gt;10000000,  BV$19&gt;=$DW55,    BV$19&lt;=($DX55+$DH$17)  ))   ,$DV55,  "")</f>
        <v/>
      </c>
      <c r="BW55" s="111" t="str">
        <f aca="false">IF(    OR(   AND($C55=10000000,    $A$17&lt;=BW$19,      ($A$17+$DH$17)&gt;BW$19    ),   AND($C55&lt;&gt;10000000,  BW$19&gt;=$DW55,    BW$19&lt;=($DX55+$DH$17)  ))   ,$DV55,  "")</f>
        <v/>
      </c>
      <c r="BX55" s="111" t="str">
        <f aca="false">IF(    OR(   AND($C55=10000000,    $A$17&lt;=BX$19,      ($A$17+$DH$17)&gt;BX$19    ),   AND($C55&lt;&gt;10000000,  BX$19&gt;=$DW55,    BX$19&lt;=($DX55+$DH$17)  ))   ,$DV55,  "")</f>
        <v/>
      </c>
      <c r="BY55" s="111" t="str">
        <f aca="false">IF(    OR(   AND($C55=10000000,    $A$17&lt;=BY$19,      ($A$17+$DH$17)&gt;BY$19    ),   AND($C55&lt;&gt;10000000,  BY$19&gt;=$DW55,    BY$19&lt;=($DX55+$DH$17)  ))   ,$DV55,  "")</f>
        <v/>
      </c>
      <c r="BZ55" s="111" t="str">
        <f aca="false">IF(    OR(   AND($C55=10000000,    $A$17&lt;=BZ$19,      ($A$17+$DH$17)&gt;BZ$19    ),   AND($C55&lt;&gt;10000000,  BZ$19&gt;=$DW55,    BZ$19&lt;=($DX55+$DH$17)  ))   ,$DV55,  "")</f>
        <v/>
      </c>
      <c r="CA55" s="111" t="str">
        <f aca="false">IF(    OR(   AND($C55=10000000,    $A$17&lt;=CA$19,      ($A$17+$DH$17)&gt;CA$19    ),   AND($C55&lt;&gt;10000000,  CA$19&gt;=$DW55,    CA$19&lt;=($DX55+$DH$17)  ))   ,$DV55,  "")</f>
        <v/>
      </c>
      <c r="CB55" s="111" t="str">
        <f aca="false">IF(    OR(   AND($C55=10000000,    $A$17&lt;=CB$19,      ($A$17+$DH$17)&gt;CB$19    ),   AND($C55&lt;&gt;10000000,  CB$19&gt;=$DW55,    CB$19&lt;=($DX55+$DH$17)  ))   ,$DV55,  "")</f>
        <v/>
      </c>
      <c r="CC55" s="111" t="str">
        <f aca="false">IF(    OR(   AND($C55=10000000,    $A$17&lt;=CC$19,      ($A$17+$DH$17)&gt;CC$19    ),   AND($C55&lt;&gt;10000000,  CC$19&gt;=$DW55,    CC$19&lt;=($DX55+$DH$17)  ))   ,$DV55,  "")</f>
        <v/>
      </c>
      <c r="CD55" s="111" t="str">
        <f aca="false">IF(    OR(   AND($C55=10000000,    $A$17&lt;=CD$19,      ($A$17+$DH$17)&gt;CD$19    ),   AND($C55&lt;&gt;10000000,  CD$19&gt;=$DW55,    CD$19&lt;=($DX55+$DH$17)  ))   ,$DV55,  "")</f>
        <v/>
      </c>
      <c r="CE55" s="111" t="str">
        <f aca="false">IF(    OR(   AND($C55=10000000,    $A$17&lt;=CE$19,      ($A$17+$DH$17)&gt;CE$19    ),   AND($C55&lt;&gt;10000000,  CE$19&gt;=$DW55,    CE$19&lt;=($DX55+$DH$17)  ))   ,$DV55,  "")</f>
        <v/>
      </c>
      <c r="CF55" s="111" t="str">
        <f aca="false">IF(    OR(   AND($C55=10000000,    $A$17&lt;=CF$19,      ($A$17+$DH$17)&gt;CF$19    ),   AND($C55&lt;&gt;10000000,  CF$19&gt;=$DW55,    CF$19&lt;=($DX55+$DH$17)  ))   ,$DV55,  "")</f>
        <v/>
      </c>
      <c r="CG55" s="111" t="str">
        <f aca="false">IF(    OR(   AND($C55=10000000,    $A$17&lt;=CG$19,      ($A$17+$DH$17)&gt;CG$19    ),   AND($C55&lt;&gt;10000000,  CG$19&gt;=$DW55,    CG$19&lt;=($DX55+$DH$17)  ))   ,$DV55,  "")</f>
        <v/>
      </c>
      <c r="CH55" s="111" t="str">
        <f aca="false">IF(    OR(   AND($C55=10000000,    $A$17&lt;=CH$19,      ($A$17+$DH$17)&gt;CH$19    ),   AND($C55&lt;&gt;10000000,  CH$19&gt;=$DW55,    CH$19&lt;=($DX55+$DH$17)  ))   ,$DV55,  "")</f>
        <v/>
      </c>
      <c r="CI55" s="111" t="str">
        <f aca="false">IF(    OR(   AND($C55=10000000,    $A$17&lt;=CI$19,      ($A$17+$DH$17)&gt;CI$19    ),   AND($C55&lt;&gt;10000000,  CI$19&gt;=$DW55,    CI$19&lt;=($DX55+$DH$17)  ))   ,$DV55,  "")</f>
        <v/>
      </c>
      <c r="CJ55" s="111" t="str">
        <f aca="false">IF(    OR(   AND($C55=10000000,    $A$17&lt;=CJ$19,      ($A$17+$DH$17)&gt;CJ$19    ),   AND($C55&lt;&gt;10000000,  CJ$19&gt;=$DW55,    CJ$19&lt;=($DX55+$DH$17)  ))   ,$DV55,  "")</f>
        <v/>
      </c>
      <c r="CK55" s="111" t="str">
        <f aca="false">IF(    OR(   AND($C55=10000000,    $A$17&lt;=CK$19,      ($A$17+$DH$17)&gt;CK$19    ),   AND($C55&lt;&gt;10000000,  CK$19&gt;=$DW55,    CK$19&lt;=($DX55+$DH$17)  ))   ,$DV55,  "")</f>
        <v/>
      </c>
      <c r="CL55" s="111" t="str">
        <f aca="false">IF(    OR(   AND($C55=10000000,    $A$17&lt;=CL$19,      ($A$17+$DH$17)&gt;CL$19    ),   AND($C55&lt;&gt;10000000,  CL$19&gt;=$DW55,    CL$19&lt;=($DX55+$DH$17)  ))   ,$DV55,  "")</f>
        <v/>
      </c>
      <c r="CM55" s="111" t="str">
        <f aca="false">IF(    OR(   AND($C55=10000000,    $A$17&lt;=CM$19,      ($A$17+$DH$17)&gt;CM$19    ),   AND($C55&lt;&gt;10000000,  CM$19&gt;=$DW55,    CM$19&lt;=($DX55+$DH$17)  ))   ,$DV55,  "")</f>
        <v/>
      </c>
      <c r="CN55" s="111" t="str">
        <f aca="false">IF(    OR(   AND($C55=10000000,    $A$17&lt;=CN$19,      ($A$17+$DH$17)&gt;CN$19    ),   AND($C55&lt;&gt;10000000,  CN$19&gt;=$DW55,    CN$19&lt;=($DX55+$DH$17)  ))   ,$DV55,  "")</f>
        <v/>
      </c>
      <c r="CO55" s="111" t="str">
        <f aca="false">IF(    OR(   AND($C55=10000000,    $A$17&lt;=CO$19,      ($A$17+$DH$17)&gt;CO$19    ),   AND($C55&lt;&gt;10000000,  CO$19&gt;=$DW55,    CO$19&lt;=($DX55+$DH$17)  ))   ,$DV55,  "")</f>
        <v/>
      </c>
      <c r="CP55" s="111" t="str">
        <f aca="false">IF(    OR(   AND($C55=10000000,    $A$17&lt;=CP$19,      ($A$17+$DH$17)&gt;CP$19    ),   AND($C55&lt;&gt;10000000,  CP$19&gt;=$DW55,    CP$19&lt;=($DX55+$DH$17)  ))   ,$DV55,  "")</f>
        <v/>
      </c>
      <c r="CQ55" s="111" t="str">
        <f aca="false">IF(    OR(   AND($C55=10000000,    $A$17&lt;=CQ$19,      ($A$17+$DH$17)&gt;CQ$19    ),   AND($C55&lt;&gt;10000000,  CQ$19&gt;=$DW55,    CQ$19&lt;=($DX55+$DH$17)  ))   ,$DV55,  "")</f>
        <v/>
      </c>
      <c r="CR55" s="111" t="str">
        <f aca="false">IF(    OR(   AND($C55=10000000,    $A$17&lt;=CR$19,      ($A$17+$DH$17)&gt;CR$19    ),   AND($C55&lt;&gt;10000000,  CR$19&gt;=$DW55,    CR$19&lt;=($DX55+$DH$17)  ))   ,$DV55,  "")</f>
        <v/>
      </c>
      <c r="CS55" s="111" t="str">
        <f aca="false">IF(    OR(   AND($C55=10000000,    $A$17&lt;=CS$19,      ($A$17+$DH$17)&gt;CS$19    ),   AND($C55&lt;&gt;10000000,  CS$19&gt;=$DW55,    CS$19&lt;=($DX55+$DH$17)  ))   ,$DV55,  "")</f>
        <v/>
      </c>
      <c r="CT55" s="111" t="str">
        <f aca="false">IF(    OR(   AND($C55=10000000,    $A$17&lt;=CT$19,      ($A$17+$DH$17)&gt;CT$19    ),   AND($C55&lt;&gt;10000000,  CT$19&gt;=$DW55,    CT$19&lt;=($DX55+$DH$17)  ))   ,$DV55,  "")</f>
        <v/>
      </c>
      <c r="CU55" s="111" t="str">
        <f aca="false">IF(    OR(   AND($C55=10000000,    $A$17&lt;=CU$19,      ($A$17+$DH$17)&gt;CU$19    ),   AND($C55&lt;&gt;10000000,  CU$19&gt;=$DW55,    CU$19&lt;=($DX55+$DH$17)  ))   ,$DV55,  "")</f>
        <v/>
      </c>
      <c r="CV55" s="111" t="str">
        <f aca="false">IF(    OR(   AND($C55=10000000,    $A$17&lt;=CV$19,      ($A$17+$DH$17)&gt;CV$19    ),   AND($C55&lt;&gt;10000000,  CV$19&gt;=$DW55,    CV$19&lt;=($DX55+$DH$17)  ))   ,$DV55,  "")</f>
        <v/>
      </c>
      <c r="CW55" s="111" t="str">
        <f aca="false">IF(    OR(   AND($C55=10000000,    $A$17&lt;=CW$19,      ($A$17+$DH$17)&gt;CW$19    ),   AND($C55&lt;&gt;10000000,  CW$19&gt;=$DW55,    CW$19&lt;=($DX55+$DH$17)  ))   ,$DV55,  "")</f>
        <v/>
      </c>
      <c r="CX55" s="111" t="str">
        <f aca="false">IF(    OR(   AND($C55=10000000,    $A$17&lt;=CX$19,      ($A$17+$DH$17)&gt;CX$19    ),   AND($C55&lt;&gt;10000000,  CX$19&gt;=$DW55,    CX$19&lt;=($DX55+$DH$17)  ))   ,$DV55,  "")</f>
        <v/>
      </c>
      <c r="CY55" s="111" t="str">
        <f aca="false">IF(    OR(   AND($C55=10000000,    $A$17&lt;=CY$19,      ($A$17+$DH$17)&gt;CY$19    ),   AND($C55&lt;&gt;10000000,  CY$19&gt;=$DW55,    CY$19&lt;=($DX55+$DH$17)  ))   ,$DV55,  "")</f>
        <v/>
      </c>
      <c r="CZ55" s="111" t="str">
        <f aca="false">IF(    OR(   AND($C55=10000000,    $A$17&lt;=CZ$19,      ($A$17+$DH$17)&gt;CZ$19    ),   AND($C55&lt;&gt;10000000,  CZ$19&gt;=$DW55,    CZ$19&lt;=($DX55+$DH$17)  ))   ,$DV55,  "")</f>
        <v/>
      </c>
      <c r="DA55" s="111" t="str">
        <f aca="false">IF(    OR(   AND($C55=10000000,    $A$17&lt;=DA$19,      ($A$17+$DH$17)&gt;DA$19    ),   AND($C55&lt;&gt;10000000,  DA$19&gt;=$DW55,    DA$19&lt;=($DX55+$DH$17)  ))   ,$DV55,  "")</f>
        <v/>
      </c>
      <c r="DB55" s="111" t="str">
        <f aca="false">IF(    OR(   AND($C55=10000000,    $A$17&lt;=DB$19,      ($A$17+$DH$17)&gt;DB$19    ),   AND($C55&lt;&gt;10000000,  DB$19&gt;=$DW55,    DB$19&lt;=($DX55+$DH$17)  ))   ,$DV55,  "")</f>
        <v/>
      </c>
      <c r="DC55" s="111" t="str">
        <f aca="false">IF(    OR(   AND($C55=10000000,    $A$17&lt;=DC$19,      ($A$17+$DH$17)&gt;DC$19    ),   AND($C55&lt;&gt;10000000,  DC$19&gt;=$DW55,    DC$19&lt;=($DX55+$DH$17)  ))   ,$DV55,  "")</f>
        <v/>
      </c>
      <c r="DD55" s="111" t="str">
        <f aca="false">IF(    OR(   AND($C55=10000000,    $A$17&lt;=DD$19,      ($A$17+$DH$17)&gt;DD$19    ),   AND($C55&lt;&gt;10000000,  DD$19&gt;=$DW55,    DD$19&lt;=($DX55+$DH$17)  ))   ,$DV55,  "")</f>
        <v/>
      </c>
      <c r="DE55" s="111" t="str">
        <f aca="false">IF(    OR(   AND($C55=10000000,    $A$17&lt;=DE$19,      ($A$17+$DH$17)&gt;DE$19    ),   AND($C55&lt;&gt;10000000,  DE$19&gt;=$DW55,    DE$19&lt;=($DX55+$DH$17)  ))   ,$DV55,  "")</f>
        <v/>
      </c>
      <c r="DF55" s="111" t="str">
        <f aca="false">IF(    OR(   AND($C55=10000000,    $A$17&lt;=DF$19,      ($A$17+$DH$17)&gt;DF$19    ),   AND($C55&lt;&gt;10000000,  DF$19&gt;=$DW55,    DF$19&lt;=($DX55+$DH$17)  ))   ,$DV55,  "")</f>
        <v/>
      </c>
      <c r="DG55" s="111" t="str">
        <f aca="false">IF(    OR(   AND($C55=10000000,    $A$17&lt;=DG$19,      ($A$17+$DH$17)&gt;DG$19    ),   AND($C55&lt;&gt;10000000,  DG$19&gt;=$DW55,    DG$19&lt;=($DX55+$DH$17)  ))   ,$DV55,  "")</f>
        <v/>
      </c>
      <c r="DH55" s="111" t="str">
        <f aca="false">IF(    OR(   AND($C55=10000000,    $A$17&lt;=DH$19,      ($A$17+$DH$17)&gt;DH$19    ),   AND($C55&lt;&gt;10000000,  DH$19&gt;=$DW55,    DH$19&lt;=($DX55+$DH$17)  ))   ,$DV55,  "")</f>
        <v/>
      </c>
      <c r="DI55" s="112" t="str">
        <f aca="false">IF(BB55="","",IF(ISERROR(FIND(CHAR(10),BB55,1)),BB55,LEFT(BB55,FIND(CHAR(10),BB55,1))))</f>
        <v/>
      </c>
      <c r="DJ55" s="53" t="str">
        <f aca="false">IF(BB55="","",IFERROR(RIGHT(BB55,LEN(BB55)-FIND("@@@",SUBSTITUTE(BB55,CHAR(10),"@@@",LEN(BB55)-LEN(SUBSTITUTE(BB55,CHAR(10),""))),1)),BB55))</f>
        <v/>
      </c>
      <c r="DK55" s="53" t="str">
        <f aca="false">IF(BC55="","",IFERROR(RIGHT(BC55,LEN(BC55)-FIND("@@@",SUBSTITUTE(BC55,CHAR(10),"@@@",LEN(BC55)-LEN(SUBSTITUTE(BC55,CHAR(10),""))),1)),BC55))</f>
        <v/>
      </c>
      <c r="DL55" s="113" t="str">
        <f aca="false">IFERROR(DATE(("20"&amp;MID(DI55,7,2))*1,MID(DI55,4,2)*1,MID(DI55,1,2)*1),"none")</f>
        <v>none</v>
      </c>
      <c r="DM55" s="113" t="str">
        <f aca="false">IFERROR(DATE(("20"&amp;MID(DJ55,7,2))*1,MID(DJ55,4,2)*1,MID(DJ55,1,2)*1),"none")</f>
        <v>none</v>
      </c>
      <c r="DN55" s="113" t="n">
        <f aca="false">IF(DL55&lt;&gt;"none",DL55,DATE(1900,1,1))</f>
        <v>2</v>
      </c>
      <c r="DO55" s="113" t="n">
        <f aca="false">IF(DM55&lt;&gt;"none",DM55,DN55)</f>
        <v>2</v>
      </c>
      <c r="DP55" s="114" t="n">
        <f aca="false">_xlfn.DAYS($A$17,DN55)</f>
        <v>45332</v>
      </c>
      <c r="DQ55" s="114" t="n">
        <f aca="false">_xlfn.DAYS($A$17, DO55)</f>
        <v>45332</v>
      </c>
      <c r="DR55" s="51" t="n">
        <f aca="false">IF(DO55&lt;&gt;"",INT(DQ55/7),0)</f>
        <v>6476</v>
      </c>
      <c r="DS55" s="114" t="n">
        <f aca="false">IF(M55="Overdue",_xlfn.DAYS($A$17,AL55),0)</f>
        <v>0</v>
      </c>
      <c r="DT55" s="114" t="n">
        <f aca="false">IF(AH55="Project",_xlfn.DAYS(AL55,$A$17),0)</f>
        <v>0</v>
      </c>
      <c r="DU55" s="51" t="str">
        <f aca="false">IFERROR(INDEX(Static!$D$5:$E$11,MATCH(AH55,Static!$D$5:$D$11,0),2),"")</f>
        <v/>
      </c>
      <c r="DV55" s="51" t="str">
        <f aca="false">IF(C55=10000000,"Red",IF(OR(C55=11000000,C55=12000000),"Black",IF(C55=11100000,"Dark",IF(AND(C55=12100000,M55="Completed"),"Green",IF(AND(C55=12100000,M55="Overdue"),"Red",IF(C55=12100000,"Dark",IF(AND(C55=12110000,M55="Overdue"),"LightRed",IF(AND(C55=12110000,M55="Completed"),"LightGreen",IF(OR(C55=11110000,C55=12110000),"Light",IF(AND(C55=12111000,M55="Overdue"),"SoftRed",IF(AND(C55=12111000,M55="Completed"),"SoftGreen",IF(OR(C55=11111000,C55=12111000),"Grey",""))))))))))))</f>
        <v/>
      </c>
      <c r="DW55" s="49" t="n">
        <f aca="false">IF(AK55&lt;&gt;"",AK55,$BI$19)</f>
        <v>44927</v>
      </c>
      <c r="DX55" s="49" t="n">
        <f aca="false">IF(AL55&lt;&gt;"",AL55,$DH$19)</f>
        <v>45657</v>
      </c>
      <c r="DY55" s="79" t="s">
        <v>450</v>
      </c>
    </row>
  </sheetData>
  <autoFilter ref="A20:DY55"/>
  <conditionalFormatting sqref="BI18:DH55">
    <cfRule type="cellIs" priority="2" operator="equal" aboveAverage="0" equalAverage="0" bottom="0" percent="0" rank="0" text="" dxfId="14">
      <formula>"Black"</formula>
    </cfRule>
    <cfRule type="cellIs" priority="3" operator="equal" aboveAverage="0" equalAverage="0" bottom="0" percent="0" rank="0" text="" dxfId="15">
      <formula>"Dark"</formula>
    </cfRule>
    <cfRule type="cellIs" priority="4" operator="equal" aboveAverage="0" equalAverage="0" bottom="0" percent="0" rank="0" text="" dxfId="16">
      <formula>"Light"</formula>
    </cfRule>
  </conditionalFormatting>
  <conditionalFormatting sqref="BI18:DH55">
    <cfRule type="cellIs" priority="5" operator="equal" aboveAverage="0" equalAverage="0" bottom="0" percent="0" rank="0" text="" dxfId="17">
      <formula>"Red"</formula>
    </cfRule>
  </conditionalFormatting>
  <conditionalFormatting sqref="BI18:DH55">
    <cfRule type="cellIs" priority="6" operator="equal" aboveAverage="0" equalAverage="0" bottom="0" percent="0" rank="0" text="" dxfId="18">
      <formula>"Green"</formula>
    </cfRule>
  </conditionalFormatting>
  <conditionalFormatting sqref="BI18:DH55">
    <cfRule type="cellIs" priority="7" operator="equal" aboveAverage="0" equalAverage="0" bottom="0" percent="0" rank="0" text="" dxfId="19">
      <formula>"LightRed"</formula>
    </cfRule>
  </conditionalFormatting>
  <conditionalFormatting sqref="BI18:DH55">
    <cfRule type="cellIs" priority="8" operator="equal" aboveAverage="0" equalAverage="0" bottom="0" percent="0" rank="0" text="" dxfId="20">
      <formula>"LightGReen"</formula>
    </cfRule>
  </conditionalFormatting>
  <conditionalFormatting sqref="BI18:DH55">
    <cfRule type="cellIs" priority="9" operator="equal" aboveAverage="0" equalAverage="0" bottom="0" percent="0" rank="0" text="" dxfId="21">
      <formula>"Grey"</formula>
    </cfRule>
  </conditionalFormatting>
  <conditionalFormatting sqref="BI18:DH55">
    <cfRule type="cellIs" priority="10" operator="equal" aboveAverage="0" equalAverage="0" bottom="0" percent="0" rank="0" text="" dxfId="22">
      <formula>"SoftGreen"</formula>
    </cfRule>
  </conditionalFormatting>
  <conditionalFormatting sqref="BI18:DH55">
    <cfRule type="cellIs" priority="11" operator="equal" aboveAverage="0" equalAverage="0" bottom="0" percent="0" rank="0" text="" dxfId="23">
      <formula>"SoftRed"</formula>
    </cfRule>
  </conditionalFormatting>
  <conditionalFormatting sqref="BE21">
    <cfRule type="colorScale" priority="12">
      <colorScale>
        <cfvo type="num" val="0"/>
        <cfvo type="num" val="1"/>
        <color rgb="FFFF0000"/>
        <color rgb="FF00A933"/>
      </colorScale>
    </cfRule>
  </conditionalFormatting>
  <conditionalFormatting sqref="BE22">
    <cfRule type="colorScale" priority="13">
      <colorScale>
        <cfvo type="num" val="0"/>
        <cfvo type="num" val="1"/>
        <color rgb="FFFF0000"/>
        <color rgb="FF00A933"/>
      </colorScale>
    </cfRule>
  </conditionalFormatting>
  <conditionalFormatting sqref="BE23">
    <cfRule type="colorScale" priority="14">
      <colorScale>
        <cfvo type="num" val="0"/>
        <cfvo type="num" val="1"/>
        <color rgb="FFFF0000"/>
        <color rgb="FF00A933"/>
      </colorScale>
    </cfRule>
  </conditionalFormatting>
  <conditionalFormatting sqref="BE24">
    <cfRule type="colorScale" priority="15">
      <colorScale>
        <cfvo type="num" val="0"/>
        <cfvo type="num" val="1"/>
        <color rgb="FFFF0000"/>
        <color rgb="FF00A933"/>
      </colorScale>
    </cfRule>
  </conditionalFormatting>
  <conditionalFormatting sqref="BE25">
    <cfRule type="colorScale" priority="16">
      <colorScale>
        <cfvo type="num" val="0"/>
        <cfvo type="num" val="1"/>
        <color rgb="FFFF0000"/>
        <color rgb="FF00A933"/>
      </colorScale>
    </cfRule>
  </conditionalFormatting>
  <conditionalFormatting sqref="BE26">
    <cfRule type="colorScale" priority="17">
      <colorScale>
        <cfvo type="num" val="0"/>
        <cfvo type="num" val="1"/>
        <color rgb="FFFF0000"/>
        <color rgb="FF00A933"/>
      </colorScale>
    </cfRule>
  </conditionalFormatting>
  <conditionalFormatting sqref="BE27">
    <cfRule type="colorScale" priority="18">
      <colorScale>
        <cfvo type="num" val="0"/>
        <cfvo type="num" val="1"/>
        <color rgb="FFFF0000"/>
        <color rgb="FF00A933"/>
      </colorScale>
    </cfRule>
  </conditionalFormatting>
  <conditionalFormatting sqref="BE28">
    <cfRule type="colorScale" priority="19">
      <colorScale>
        <cfvo type="num" val="0"/>
        <cfvo type="num" val="1"/>
        <color rgb="FFFF0000"/>
        <color rgb="FF00A933"/>
      </colorScale>
    </cfRule>
  </conditionalFormatting>
  <conditionalFormatting sqref="BE29">
    <cfRule type="colorScale" priority="20">
      <colorScale>
        <cfvo type="num" val="0"/>
        <cfvo type="num" val="1"/>
        <color rgb="FFFF0000"/>
        <color rgb="FF00A933"/>
      </colorScale>
    </cfRule>
  </conditionalFormatting>
  <conditionalFormatting sqref="BE30">
    <cfRule type="colorScale" priority="21">
      <colorScale>
        <cfvo type="num" val="0"/>
        <cfvo type="num" val="1"/>
        <color rgb="FFFF0000"/>
        <color rgb="FF00A933"/>
      </colorScale>
    </cfRule>
  </conditionalFormatting>
  <conditionalFormatting sqref="BE31">
    <cfRule type="colorScale" priority="22">
      <colorScale>
        <cfvo type="num" val="0"/>
        <cfvo type="num" val="1"/>
        <color rgb="FFFF0000"/>
        <color rgb="FF00A933"/>
      </colorScale>
    </cfRule>
  </conditionalFormatting>
  <conditionalFormatting sqref="BE32">
    <cfRule type="colorScale" priority="23">
      <colorScale>
        <cfvo type="num" val="0"/>
        <cfvo type="num" val="1"/>
        <color rgb="FFFF0000"/>
        <color rgb="FF00A933"/>
      </colorScale>
    </cfRule>
  </conditionalFormatting>
  <conditionalFormatting sqref="BE33">
    <cfRule type="colorScale" priority="24">
      <colorScale>
        <cfvo type="num" val="0"/>
        <cfvo type="num" val="1"/>
        <color rgb="FFFF0000"/>
        <color rgb="FF00A933"/>
      </colorScale>
    </cfRule>
  </conditionalFormatting>
  <conditionalFormatting sqref="BE34">
    <cfRule type="colorScale" priority="25">
      <colorScale>
        <cfvo type="num" val="0"/>
        <cfvo type="num" val="1"/>
        <color rgb="FFFF0000"/>
        <color rgb="FF00A933"/>
      </colorScale>
    </cfRule>
  </conditionalFormatting>
  <conditionalFormatting sqref="BE35">
    <cfRule type="colorScale" priority="26">
      <colorScale>
        <cfvo type="num" val="0"/>
        <cfvo type="num" val="1"/>
        <color rgb="FFFF0000"/>
        <color rgb="FF00A933"/>
      </colorScale>
    </cfRule>
  </conditionalFormatting>
  <conditionalFormatting sqref="BE36">
    <cfRule type="colorScale" priority="27">
      <colorScale>
        <cfvo type="num" val="0"/>
        <cfvo type="num" val="1"/>
        <color rgb="FFFF0000"/>
        <color rgb="FF00A933"/>
      </colorScale>
    </cfRule>
  </conditionalFormatting>
  <conditionalFormatting sqref="BE37">
    <cfRule type="colorScale" priority="28">
      <colorScale>
        <cfvo type="num" val="0"/>
        <cfvo type="num" val="1"/>
        <color rgb="FFFF0000"/>
        <color rgb="FF00A933"/>
      </colorScale>
    </cfRule>
  </conditionalFormatting>
  <conditionalFormatting sqref="BE38">
    <cfRule type="colorScale" priority="29">
      <colorScale>
        <cfvo type="num" val="0"/>
        <cfvo type="num" val="1"/>
        <color rgb="FFFF0000"/>
        <color rgb="FF00A933"/>
      </colorScale>
    </cfRule>
  </conditionalFormatting>
  <conditionalFormatting sqref="BE39">
    <cfRule type="colorScale" priority="30">
      <colorScale>
        <cfvo type="num" val="0"/>
        <cfvo type="num" val="1"/>
        <color rgb="FFFF0000"/>
        <color rgb="FF00A933"/>
      </colorScale>
    </cfRule>
  </conditionalFormatting>
  <conditionalFormatting sqref="BE40">
    <cfRule type="colorScale" priority="31">
      <colorScale>
        <cfvo type="num" val="0"/>
        <cfvo type="num" val="1"/>
        <color rgb="FFFF0000"/>
        <color rgb="FF00A933"/>
      </colorScale>
    </cfRule>
  </conditionalFormatting>
  <conditionalFormatting sqref="BE41">
    <cfRule type="colorScale" priority="32">
      <colorScale>
        <cfvo type="num" val="0"/>
        <cfvo type="num" val="1"/>
        <color rgb="FFFF0000"/>
        <color rgb="FF00A933"/>
      </colorScale>
    </cfRule>
  </conditionalFormatting>
  <conditionalFormatting sqref="BE42">
    <cfRule type="colorScale" priority="33">
      <colorScale>
        <cfvo type="num" val="0"/>
        <cfvo type="num" val="1"/>
        <color rgb="FFFF0000"/>
        <color rgb="FF00A933"/>
      </colorScale>
    </cfRule>
  </conditionalFormatting>
  <conditionalFormatting sqref="BE43">
    <cfRule type="colorScale" priority="34">
      <colorScale>
        <cfvo type="num" val="0"/>
        <cfvo type="num" val="1"/>
        <color rgb="FFFF0000"/>
        <color rgb="FF00A933"/>
      </colorScale>
    </cfRule>
  </conditionalFormatting>
  <conditionalFormatting sqref="BE44">
    <cfRule type="colorScale" priority="35">
      <colorScale>
        <cfvo type="num" val="0"/>
        <cfvo type="num" val="1"/>
        <color rgb="FFFF0000"/>
        <color rgb="FF00A933"/>
      </colorScale>
    </cfRule>
  </conditionalFormatting>
  <conditionalFormatting sqref="BE45">
    <cfRule type="colorScale" priority="36">
      <colorScale>
        <cfvo type="num" val="0"/>
        <cfvo type="num" val="1"/>
        <color rgb="FFFF0000"/>
        <color rgb="FF00A933"/>
      </colorScale>
    </cfRule>
  </conditionalFormatting>
  <conditionalFormatting sqref="BE46">
    <cfRule type="colorScale" priority="37">
      <colorScale>
        <cfvo type="num" val="0"/>
        <cfvo type="num" val="1"/>
        <color rgb="FFFF0000"/>
        <color rgb="FF00A933"/>
      </colorScale>
    </cfRule>
  </conditionalFormatting>
  <conditionalFormatting sqref="BE47">
    <cfRule type="colorScale" priority="38">
      <colorScale>
        <cfvo type="num" val="0"/>
        <cfvo type="num" val="1"/>
        <color rgb="FFFF0000"/>
        <color rgb="FF00A933"/>
      </colorScale>
    </cfRule>
  </conditionalFormatting>
  <conditionalFormatting sqref="BE48">
    <cfRule type="colorScale" priority="39">
      <colorScale>
        <cfvo type="num" val="0"/>
        <cfvo type="num" val="1"/>
        <color rgb="FFFF0000"/>
        <color rgb="FF00A933"/>
      </colorScale>
    </cfRule>
  </conditionalFormatting>
  <conditionalFormatting sqref="BE49">
    <cfRule type="colorScale" priority="40">
      <colorScale>
        <cfvo type="num" val="0"/>
        <cfvo type="num" val="1"/>
        <color rgb="FFFF0000"/>
        <color rgb="FF00A933"/>
      </colorScale>
    </cfRule>
  </conditionalFormatting>
  <conditionalFormatting sqref="BE50">
    <cfRule type="colorScale" priority="41">
      <colorScale>
        <cfvo type="num" val="0"/>
        <cfvo type="num" val="1"/>
        <color rgb="FFFF0000"/>
        <color rgb="FF00A933"/>
      </colorScale>
    </cfRule>
  </conditionalFormatting>
  <conditionalFormatting sqref="BE51">
    <cfRule type="colorScale" priority="42">
      <colorScale>
        <cfvo type="num" val="0"/>
        <cfvo type="num" val="1"/>
        <color rgb="FFFF0000"/>
        <color rgb="FF00A933"/>
      </colorScale>
    </cfRule>
  </conditionalFormatting>
  <conditionalFormatting sqref="BE52">
    <cfRule type="colorScale" priority="43">
      <colorScale>
        <cfvo type="num" val="0"/>
        <cfvo type="num" val="1"/>
        <color rgb="FFFF0000"/>
        <color rgb="FF00A933"/>
      </colorScale>
    </cfRule>
  </conditionalFormatting>
  <conditionalFormatting sqref="BE53">
    <cfRule type="colorScale" priority="44">
      <colorScale>
        <cfvo type="num" val="0"/>
        <cfvo type="num" val="1"/>
        <color rgb="FFFF0000"/>
        <color rgb="FF00A933"/>
      </colorScale>
    </cfRule>
  </conditionalFormatting>
  <conditionalFormatting sqref="BE54">
    <cfRule type="colorScale" priority="45">
      <colorScale>
        <cfvo type="num" val="0"/>
        <cfvo type="num" val="1"/>
        <color rgb="FFFF0000"/>
        <color rgb="FF00A933"/>
      </colorScale>
    </cfRule>
  </conditionalFormatting>
  <conditionalFormatting sqref="BE55">
    <cfRule type="colorScale" priority="46">
      <colorScale>
        <cfvo type="num" val="0"/>
        <cfvo type="num" val="1"/>
        <color rgb="FFFF0000"/>
        <color rgb="FF00A933"/>
      </colorScale>
    </cfRule>
  </conditionalFormatting>
  <dataValidations count="5">
    <dataValidation allowBlank="true" errorStyle="stop" operator="equal" showDropDown="false" showErrorMessage="true" showInputMessage="false" sqref="DU21:DX55" type="none">
      <formula1>Static!$E$5:$E$5</formula1>
      <formula2>0</formula2>
    </dataValidation>
    <dataValidation allowBlank="true" errorStyle="stop" operator="equal" showDropDown="false" showErrorMessage="true" showInputMessage="false" sqref="AH21:AH55" type="list">
      <formula1>Static!$D$5:$D$12</formula1>
      <formula2>0</formula2>
    </dataValidation>
    <dataValidation allowBlank="true" errorStyle="stop" operator="equal" showDropDown="false" showErrorMessage="true" showInputMessage="false" sqref="AF22:AF55" type="list">
      <formula1>Static!$AI$5:$AI$7</formula1>
      <formula2>0</formula2>
    </dataValidation>
    <dataValidation allowBlank="true" errorStyle="stop" operator="equal" showDropDown="false" showErrorMessage="true" showInputMessage="false" sqref="AT21:AT55" type="list">
      <formula1>Static!$Q$5:$V$5</formula1>
      <formula2>0</formula2>
    </dataValidation>
    <dataValidation allowBlank="true" errorStyle="stop" operator="equal" showDropDown="false" showErrorMessage="true" showInputMessage="false" sqref="AU21:AU55" type="list">
      <formula1>INDIRECT(AT21)</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AMJ71"/>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F3" activeCellId="0" sqref="AF3"/>
    </sheetView>
  </sheetViews>
  <sheetFormatPr defaultColWidth="15.1015625" defaultRowHeight="12.8" zeroHeight="false" outlineLevelRow="1" outlineLevelCol="1"/>
  <cols>
    <col collapsed="false" customWidth="true" hidden="true" outlineLevel="1" max="1" min="1" style="2" width="1.8"/>
    <col collapsed="false" customWidth="true" hidden="true" outlineLevel="1" max="3" min="2" style="31" width="7.68"/>
    <col collapsed="false" customWidth="true" hidden="true" outlineLevel="1" max="4" min="4" style="31" width="10.49"/>
    <col collapsed="false" customWidth="true" hidden="true" outlineLevel="1" max="5" min="5" style="31" width="9.26"/>
    <col collapsed="false" customWidth="true" hidden="true" outlineLevel="1" max="6" min="6" style="31" width="6.21"/>
    <col collapsed="false" customWidth="true" hidden="true" outlineLevel="1" max="7" min="7" style="31" width="7.53"/>
    <col collapsed="false" customWidth="true" hidden="true" outlineLevel="1" max="8" min="8" style="31" width="9.2"/>
    <col collapsed="false" customWidth="true" hidden="true" outlineLevel="1" max="9" min="9" style="31" width="7.81"/>
    <col collapsed="false" customWidth="true" hidden="true" outlineLevel="1" max="14" min="10" style="31" width="6.21"/>
    <col collapsed="false" customWidth="true" hidden="true" outlineLevel="1" max="17" min="15" style="31" width="3.12"/>
    <col collapsed="false" customWidth="true" hidden="true" outlineLevel="1" max="18" min="18" style="31" width="2.92"/>
    <col collapsed="false" customWidth="true" hidden="true" outlineLevel="1" max="23" min="19" style="31" width="2.95"/>
    <col collapsed="false" customWidth="true" hidden="false" outlineLevel="0" max="24" min="24" style="31" width="3.37"/>
    <col collapsed="false" customWidth="true" hidden="false" outlineLevel="0" max="25" min="25" style="31" width="2.92"/>
    <col collapsed="false" customWidth="true" hidden="false" outlineLevel="0" max="26" min="26" style="31" width="2.95"/>
    <col collapsed="false" customWidth="true" hidden="false" outlineLevel="0" max="27" min="27" style="32" width="3.21"/>
    <col collapsed="false" customWidth="true" hidden="false" outlineLevel="0" max="28" min="28" style="31" width="4.73"/>
    <col collapsed="false" customWidth="true" hidden="false" outlineLevel="0" max="29" min="29" style="31" width="10.19"/>
    <col collapsed="false" customWidth="true" hidden="false" outlineLevel="0" max="30" min="30" style="31" width="7.31"/>
    <col collapsed="false" customWidth="true" hidden="false" outlineLevel="0" max="31" min="31" style="31" width="5.14"/>
    <col collapsed="false" customWidth="true" hidden="false" outlineLevel="0" max="32" min="32" style="31" width="12.5"/>
    <col collapsed="false" customWidth="true" hidden="false" outlineLevel="0" max="33" min="33" style="2" width="23.84"/>
    <col collapsed="false" customWidth="true" hidden="false" outlineLevel="0" max="34" min="34" style="31" width="55.43"/>
    <col collapsed="false" customWidth="true" hidden="false" outlineLevel="0" max="36" min="35" style="31" width="10.23"/>
    <col collapsed="false" customWidth="true" hidden="false" outlineLevel="0" max="37" min="37" style="31" width="5.7"/>
    <col collapsed="false" customWidth="true" hidden="false" outlineLevel="0" max="39" min="38" style="31" width="6.54"/>
    <col collapsed="false" customWidth="true" hidden="false" outlineLevel="0" max="40" min="40" style="31" width="5.99"/>
    <col collapsed="false" customWidth="true" hidden="false" outlineLevel="0" max="42" min="41" style="31" width="16.38"/>
    <col collapsed="false" customWidth="true" hidden="false" outlineLevel="0" max="43" min="43" style="2" width="14.35"/>
    <col collapsed="false" customWidth="true" hidden="false" outlineLevel="0" max="44" min="44" style="31" width="7.81"/>
    <col collapsed="false" customWidth="true" hidden="false" outlineLevel="0" max="45" min="45" style="2" width="11.81"/>
    <col collapsed="false" customWidth="true" hidden="true" outlineLevel="1" max="47" min="46" style="2" width="14.05"/>
    <col collapsed="false" customWidth="true" hidden="true" outlineLevel="1" max="49" min="48" style="2" width="10.65"/>
    <col collapsed="false" customWidth="true" hidden="false" outlineLevel="0" max="50" min="50" style="0" width="2.54"/>
    <col collapsed="false" customWidth="false" hidden="true" outlineLevel="0" max="1016" min="51" style="0" width="15.08"/>
    <col collapsed="false" customWidth="true" hidden="false" outlineLevel="0" max="1024" min="1017" style="0" width="11.52"/>
  </cols>
  <sheetData>
    <row r="1" s="38" customFormat="true" ht="120.95" hidden="true" customHeight="true" outlineLevel="1" collapsed="false">
      <c r="A1" s="33" t="n">
        <f aca="true">TODAY()</f>
        <v>45334</v>
      </c>
      <c r="B1" s="34" t="s">
        <v>349</v>
      </c>
      <c r="C1" s="34" t="s">
        <v>350</v>
      </c>
      <c r="D1" s="34" t="s">
        <v>351</v>
      </c>
      <c r="E1" s="34" t="s">
        <v>352</v>
      </c>
      <c r="F1" s="34" t="s">
        <v>353</v>
      </c>
      <c r="G1" s="34" t="s">
        <v>353</v>
      </c>
      <c r="H1" s="34" t="s">
        <v>353</v>
      </c>
      <c r="I1" s="34" t="s">
        <v>353</v>
      </c>
      <c r="J1" s="34" t="s">
        <v>353</v>
      </c>
      <c r="K1" s="34" t="s">
        <v>354</v>
      </c>
      <c r="L1" s="34" t="s">
        <v>355</v>
      </c>
      <c r="M1" s="34" t="s">
        <v>356</v>
      </c>
      <c r="N1" s="34" t="s">
        <v>357</v>
      </c>
      <c r="O1" s="34" t="s">
        <v>358</v>
      </c>
      <c r="P1" s="34" t="s">
        <v>779</v>
      </c>
      <c r="Q1" s="34" t="s">
        <v>359</v>
      </c>
      <c r="R1" s="34" t="s">
        <v>360</v>
      </c>
      <c r="S1" s="34" t="s">
        <v>361</v>
      </c>
      <c r="T1" s="34" t="s">
        <v>362</v>
      </c>
      <c r="U1" s="34" t="s">
        <v>363</v>
      </c>
      <c r="V1" s="34" t="s">
        <v>364</v>
      </c>
      <c r="W1" s="34" t="s">
        <v>365</v>
      </c>
      <c r="X1" s="34" t="s">
        <v>366</v>
      </c>
      <c r="Y1" s="34" t="s">
        <v>367</v>
      </c>
      <c r="Z1" s="34" t="s">
        <v>368</v>
      </c>
      <c r="AA1" s="35" t="s">
        <v>369</v>
      </c>
      <c r="AB1" s="34" t="s">
        <v>370</v>
      </c>
      <c r="AC1" s="34" t="s">
        <v>371</v>
      </c>
      <c r="AD1" s="34" t="s">
        <v>372</v>
      </c>
      <c r="AE1" s="34" t="s">
        <v>373</v>
      </c>
      <c r="AF1" s="36" t="s">
        <v>374</v>
      </c>
      <c r="AG1" s="35" t="s">
        <v>375</v>
      </c>
      <c r="AH1" s="35" t="s">
        <v>376</v>
      </c>
      <c r="AI1" s="34" t="s">
        <v>377</v>
      </c>
      <c r="AJ1" s="34" t="s">
        <v>378</v>
      </c>
      <c r="AK1" s="34" t="s">
        <v>379</v>
      </c>
      <c r="AL1" s="34" t="s">
        <v>380</v>
      </c>
      <c r="AM1" s="34" t="s">
        <v>381</v>
      </c>
      <c r="AN1" s="34" t="s">
        <v>382</v>
      </c>
      <c r="AO1" s="35" t="s">
        <v>384</v>
      </c>
      <c r="AP1" s="36" t="s">
        <v>385</v>
      </c>
      <c r="AQ1" s="36" t="s">
        <v>386</v>
      </c>
      <c r="AR1" s="34" t="s">
        <v>387</v>
      </c>
      <c r="AS1" s="36" t="s">
        <v>388</v>
      </c>
      <c r="AT1" s="36" t="s">
        <v>389</v>
      </c>
      <c r="AU1" s="36" t="s">
        <v>390</v>
      </c>
      <c r="AV1" s="37" t="s">
        <v>391</v>
      </c>
      <c r="AW1" s="37" t="s">
        <v>392</v>
      </c>
      <c r="AX1" s="36" t="s">
        <v>393</v>
      </c>
      <c r="AMC1" s="0"/>
      <c r="AMD1" s="0"/>
      <c r="AME1" s="0"/>
      <c r="AMF1" s="0"/>
      <c r="AMG1" s="0"/>
      <c r="AMH1" s="0"/>
      <c r="AMI1" s="0"/>
      <c r="AMJ1" s="0"/>
    </row>
    <row r="2" s="38" customFormat="true" ht="14.15" hidden="true" customHeight="true" outlineLevel="1" collapsed="false">
      <c r="A2" s="36"/>
      <c r="B2" s="34"/>
      <c r="C2" s="34"/>
      <c r="D2" s="34" t="n">
        <v>1</v>
      </c>
      <c r="E2" s="34"/>
      <c r="F2" s="34"/>
      <c r="G2" s="34"/>
      <c r="H2" s="34"/>
      <c r="I2" s="34"/>
      <c r="J2" s="34"/>
      <c r="K2" s="34"/>
      <c r="L2" s="34"/>
      <c r="M2" s="34"/>
      <c r="N2" s="34"/>
      <c r="O2" s="34"/>
      <c r="P2" s="34"/>
      <c r="Q2" s="34"/>
      <c r="R2" s="34"/>
      <c r="S2" s="34"/>
      <c r="T2" s="34"/>
      <c r="U2" s="34"/>
      <c r="V2" s="34"/>
      <c r="W2" s="34"/>
      <c r="X2" s="34"/>
      <c r="Y2" s="34"/>
      <c r="Z2" s="34"/>
      <c r="AA2" s="35"/>
      <c r="AB2" s="34"/>
      <c r="AC2" s="34"/>
      <c r="AD2" s="34"/>
      <c r="AE2" s="34"/>
      <c r="AF2" s="34"/>
      <c r="AG2" s="35"/>
      <c r="AH2" s="35"/>
      <c r="AI2" s="34"/>
      <c r="AJ2" s="34"/>
      <c r="AK2" s="34"/>
      <c r="AL2" s="34"/>
      <c r="AM2" s="34"/>
      <c r="AN2" s="34"/>
      <c r="AO2" s="35"/>
      <c r="AP2" s="35"/>
      <c r="AQ2" s="36"/>
      <c r="AR2" s="34"/>
      <c r="AS2" s="36"/>
      <c r="AT2" s="36"/>
      <c r="AU2" s="36"/>
      <c r="AV2" s="37"/>
      <c r="AW2" s="37"/>
      <c r="AX2" s="36"/>
      <c r="AMC2" s="0"/>
      <c r="AMD2" s="0"/>
      <c r="AME2" s="0"/>
      <c r="AMF2" s="0"/>
      <c r="AMG2" s="0"/>
      <c r="AMH2" s="0"/>
      <c r="AMI2" s="0"/>
      <c r="AMJ2" s="0"/>
    </row>
    <row r="3" customFormat="false" ht="74.6" hidden="false" customHeight="true" outlineLevel="0" collapsed="false">
      <c r="A3" s="39" t="s">
        <v>394</v>
      </c>
      <c r="B3" s="40" t="s">
        <v>395</v>
      </c>
      <c r="C3" s="40" t="s">
        <v>396</v>
      </c>
      <c r="D3" s="41" t="s">
        <v>397</v>
      </c>
      <c r="E3" s="41" t="s">
        <v>398</v>
      </c>
      <c r="F3" s="41" t="s">
        <v>399</v>
      </c>
      <c r="G3" s="41" t="s">
        <v>400</v>
      </c>
      <c r="H3" s="41" t="s">
        <v>401</v>
      </c>
      <c r="I3" s="41" t="s">
        <v>402</v>
      </c>
      <c r="J3" s="41" t="s">
        <v>403</v>
      </c>
      <c r="K3" s="41" t="s">
        <v>404</v>
      </c>
      <c r="L3" s="41" t="s">
        <v>405</v>
      </c>
      <c r="M3" s="41" t="s">
        <v>406</v>
      </c>
      <c r="N3" s="41" t="s">
        <v>407</v>
      </c>
      <c r="O3" s="40" t="s">
        <v>408</v>
      </c>
      <c r="P3" s="40" t="s">
        <v>780</v>
      </c>
      <c r="Q3" s="40" t="s">
        <v>409</v>
      </c>
      <c r="R3" s="40" t="s">
        <v>410</v>
      </c>
      <c r="S3" s="40" t="s">
        <v>411</v>
      </c>
      <c r="T3" s="40" t="s">
        <v>412</v>
      </c>
      <c r="U3" s="40" t="s">
        <v>413</v>
      </c>
      <c r="V3" s="40" t="s">
        <v>414</v>
      </c>
      <c r="W3" s="40" t="s">
        <v>415</v>
      </c>
      <c r="X3" s="40" t="s">
        <v>416</v>
      </c>
      <c r="Y3" s="40" t="s">
        <v>417</v>
      </c>
      <c r="Z3" s="40" t="s">
        <v>418</v>
      </c>
      <c r="AA3" s="42" t="s">
        <v>333</v>
      </c>
      <c r="AB3" s="41" t="s">
        <v>419</v>
      </c>
      <c r="AC3" s="41" t="s">
        <v>420</v>
      </c>
      <c r="AD3" s="41" t="s">
        <v>421</v>
      </c>
      <c r="AE3" s="41" t="s">
        <v>422</v>
      </c>
      <c r="AF3" s="41" t="s">
        <v>423</v>
      </c>
      <c r="AG3" s="43" t="s">
        <v>424</v>
      </c>
      <c r="AH3" s="43" t="s">
        <v>425</v>
      </c>
      <c r="AI3" s="41" t="s">
        <v>426</v>
      </c>
      <c r="AJ3" s="41" t="s">
        <v>427</v>
      </c>
      <c r="AK3" s="41" t="s">
        <v>428</v>
      </c>
      <c r="AL3" s="41" t="s">
        <v>429</v>
      </c>
      <c r="AM3" s="41" t="s">
        <v>430</v>
      </c>
      <c r="AN3" s="41" t="s">
        <v>431</v>
      </c>
      <c r="AO3" s="43" t="s">
        <v>433</v>
      </c>
      <c r="AP3" s="43" t="s">
        <v>434</v>
      </c>
      <c r="AQ3" s="39" t="s">
        <v>435</v>
      </c>
      <c r="AR3" s="41" t="s">
        <v>436</v>
      </c>
      <c r="AS3" s="41" t="s">
        <v>437</v>
      </c>
      <c r="AT3" s="39" t="s">
        <v>438</v>
      </c>
      <c r="AU3" s="39" t="s">
        <v>439</v>
      </c>
      <c r="AV3" s="44" t="s">
        <v>440</v>
      </c>
      <c r="AW3" s="44" t="s">
        <v>441</v>
      </c>
      <c r="AX3" s="43" t="s">
        <v>442</v>
      </c>
    </row>
    <row r="4" customFormat="false" ht="8.75" hidden="false" customHeight="true" outlineLevel="0" collapsed="false">
      <c r="A4" s="45" t="str">
        <f aca="false">A3</f>
        <v>A</v>
      </c>
      <c r="B4" s="46" t="str">
        <f aca="false">B3</f>
        <v>Performer</v>
      </c>
      <c r="C4" s="46" t="str">
        <f aca="false">C3</f>
        <v>Beneficiary</v>
      </c>
      <c r="D4" s="46" t="str">
        <f aca="false">D3</f>
        <v>Last Date</v>
      </c>
      <c r="E4" s="46" t="str">
        <f aca="false">E3</f>
        <v>Duration</v>
      </c>
      <c r="F4" s="46" t="str">
        <f aca="false">F3</f>
        <v>Tasks Open</v>
      </c>
      <c r="G4" s="46" t="str">
        <f aca="false">G3</f>
        <v>Tasks Started</v>
      </c>
      <c r="H4" s="46" t="str">
        <f aca="false">H3</f>
        <v>Tasks Pending</v>
      </c>
      <c r="I4" s="46" t="str">
        <f aca="false">I3</f>
        <v>Tasks Urgent</v>
      </c>
      <c r="J4" s="46" t="str">
        <f aca="false">J3</f>
        <v>Tasks Done</v>
      </c>
      <c r="K4" s="46" t="str">
        <f aca="false">K3</f>
        <v>Tasks Total</v>
      </c>
      <c r="L4" s="46" t="str">
        <f aca="false">L3</f>
        <v>Last Date Year</v>
      </c>
      <c r="M4" s="46" t="str">
        <f aca="false">M3</f>
        <v>Last Date Month</v>
      </c>
      <c r="N4" s="46" t="str">
        <f aca="false">N3</f>
        <v>Last Date Week</v>
      </c>
      <c r="O4" s="46"/>
      <c r="P4" s="46" t="str">
        <f aca="false">P3</f>
        <v>Goal Sort</v>
      </c>
      <c r="Q4" s="46" t="str">
        <f aca="false">Q3</f>
        <v>Recurs?</v>
      </c>
      <c r="R4" s="46"/>
      <c r="S4" s="46" t="str">
        <f aca="false">S3</f>
        <v>Next wk?</v>
      </c>
      <c r="T4" s="46" t="str">
        <f aca="false">T3</f>
        <v>Overdue?</v>
      </c>
      <c r="U4" s="46" t="str">
        <f aca="false">U3</f>
        <v>Last wk?</v>
      </c>
      <c r="V4" s="46" t="str">
        <f aca="false">V3</f>
        <v>Active ?</v>
      </c>
      <c r="W4" s="46" t="str">
        <f aca="false">W3</f>
        <v>Done  ?</v>
      </c>
      <c r="X4" s="46" t="str">
        <f aca="false">X3</f>
        <v>Alert ?</v>
      </c>
      <c r="Y4" s="46" t="str">
        <f aca="false">Y3</f>
        <v>Rep ?</v>
      </c>
      <c r="Z4" s="46" t="str">
        <f aca="false">Z3</f>
        <v>Show ?</v>
      </c>
      <c r="AA4" s="47" t="str">
        <f aca="false">AA3</f>
        <v>Sort</v>
      </c>
      <c r="AB4" s="46" t="str">
        <f aca="false">AB3</f>
        <v>Day</v>
      </c>
      <c r="AC4" s="46" t="str">
        <f aca="false">AC3</f>
        <v>Calc 
Start 
Date</v>
      </c>
      <c r="AD4" s="46" t="str">
        <f aca="false">AD3</f>
        <v>Force Rep</v>
      </c>
      <c r="AE4" s="46"/>
      <c r="AF4" s="46" t="str">
        <f aca="false">AF3</f>
        <v>Tracking Type</v>
      </c>
      <c r="AG4" s="47" t="str">
        <f aca="false">AG3</f>
        <v>Name</v>
      </c>
      <c r="AH4" s="47" t="str">
        <f aca="false">AH3</f>
        <v>Overview</v>
      </c>
      <c r="AI4" s="46" t="str">
        <f aca="false">AI3</f>
        <v>Start 
Date</v>
      </c>
      <c r="AJ4" s="46" t="str">
        <f aca="false">AJ3</f>
        <v>End 
Date</v>
      </c>
      <c r="AK4" s="46" t="str">
        <f aca="false">AK3</f>
        <v>Effort</v>
      </c>
      <c r="AL4" s="46" t="str">
        <f aca="false">AL3</f>
        <v>Whom by</v>
      </c>
      <c r="AM4" s="46" t="str">
        <f aca="false">AM3</f>
        <v>Whom for</v>
      </c>
      <c r="AN4" s="46" t="str">
        <f aca="false">AN3</f>
        <v>Goal</v>
      </c>
      <c r="AO4" s="47" t="str">
        <f aca="false">AO3</f>
        <v>Reference</v>
      </c>
      <c r="AP4" s="47" t="str">
        <f aca="false">AP3</f>
        <v>Notes</v>
      </c>
      <c r="AQ4" s="45" t="str">
        <f aca="false">AQ3</f>
        <v>Tasks</v>
      </c>
      <c r="AR4" s="46" t="str">
        <f aca="false">AR3</f>
        <v>Tasks Left</v>
      </c>
      <c r="AS4" s="45" t="str">
        <f aca="false">AS3</f>
        <v>Task Progress</v>
      </c>
      <c r="AT4" s="45" t="str">
        <f aca="false">AT3</f>
        <v>First Note</v>
      </c>
      <c r="AU4" s="45" t="str">
        <f aca="false">AU3</f>
        <v>Last Note</v>
      </c>
      <c r="AV4" s="48" t="str">
        <f aca="false">AV3</f>
        <v>First Note Date</v>
      </c>
      <c r="AW4" s="48" t="str">
        <f aca="false">AW3</f>
        <v>Last Note Date</v>
      </c>
      <c r="AX4" s="47" t="str">
        <f aca="false">AX3</f>
        <v>Z</v>
      </c>
    </row>
    <row r="5" customFormat="false" ht="12.75" hidden="false" customHeight="true" outlineLevel="0" collapsed="false">
      <c r="A5" s="63"/>
      <c r="B5" s="49" t="str">
        <f aca="false">IF(AL5="","tbc",AL5)</f>
        <v>tbc</v>
      </c>
      <c r="C5" s="49" t="str">
        <f aca="false">IF(AM5="","VNT",AM5)</f>
        <v>VNT</v>
      </c>
      <c r="D5" s="49" t="n">
        <f aca="false">MAX(AC5,IF(AW5="none",AC5,AW5))</f>
        <v>0</v>
      </c>
      <c r="E5" s="50" t="n">
        <f aca="false">IFERROR(DAYS360(AC5,D5),0)</f>
        <v>0</v>
      </c>
      <c r="F5" s="50" t="n">
        <f aca="false">((LEN($AQ5)-LEN(SUBSTITUTE($AQ5,CHAR(10)&amp;". ","")))/3)+IF(LEFT(TRIM($AQ5),2)=". ",1,0)</f>
        <v>0</v>
      </c>
      <c r="G5" s="50" t="n">
        <f aca="false">((LEN($AQ5)-LEN(SUBSTITUTE($AQ5,CHAR(10)&amp;"/ ","")))/3)+IF(LEFT(TRIM($AQ5),2)="/ ",1,0)</f>
        <v>0</v>
      </c>
      <c r="H5" s="50" t="n">
        <f aca="false">((LEN($AQ5)-LEN(SUBSTITUTE($AQ5,CHAR(10)&amp;"~ ","")))/3)+IF(LEFT(TRIM($AQ5),2)="~ ",1,0)</f>
        <v>0</v>
      </c>
      <c r="I5" s="50" t="n">
        <f aca="false">((LEN($AQ5)-LEN(SUBSTITUTE($AQ5,CHAR(10)&amp;"! ","")))/3)+IF(LEFT(TRIM($AQ5),2)="! ",1,0)</f>
        <v>0</v>
      </c>
      <c r="J5" s="50" t="n">
        <f aca="false">((LEN($AQ5)-LEN(SUBSTITUTE($AQ5,CHAR(10)&amp;"x ","")))/3)+IF(LEFT(TRIM($AQ5),2)="x ",1,0)</f>
        <v>0</v>
      </c>
      <c r="K5" s="50" t="n">
        <f aca="false">SUM(F5:J5)</f>
        <v>0</v>
      </c>
      <c r="L5" s="51" t="n">
        <f aca="false">YEAR(D5)</f>
        <v>1899</v>
      </c>
      <c r="M5" s="51" t="str">
        <f aca="false">VLOOKUP(MONTH(D5),Static!$AJ$3:$AK$16,2,0)</f>
        <v>Dec</v>
      </c>
      <c r="N5" s="51" t="n">
        <f aca="false">WEEKNUM(D5,1)</f>
        <v>52</v>
      </c>
      <c r="O5" s="51" t="str">
        <f aca="false">IFERROR(INDEX(Static!$I$5:$L$15,MATCH(AF5,Static!$I$5:$I$15,0),3),"Z")</f>
        <v>I</v>
      </c>
      <c r="P5" s="51" t="str">
        <f aca="false">IFERROR(INDEX(#REF!,MATCH(AN5,#REF!,0),3),"Z")</f>
        <v>Z</v>
      </c>
      <c r="Q5" s="51" t="str">
        <f aca="false">IFERROR(INDEX(Static!$I$5:$L$15,MATCH(AF5,Static!$I$5:$I$15,0),2),"Y")</f>
        <v>N</v>
      </c>
      <c r="R5" s="51" t="str">
        <f aca="false">IFERROR(INDEX(Static!$I$5:$L$15,MATCH(AF5,Static!$I$5:$I$15,0),4),"Y")</f>
        <v>Y</v>
      </c>
      <c r="S5" s="51" t="str">
        <f aca="false">IF(AND(AJ5&lt;&gt;"",T5="N",$A$1&gt;=AJ5-(7*$D$2)),"Y","N")</f>
        <v>N</v>
      </c>
      <c r="T5" s="51" t="str">
        <f aca="false">IF(AND(AJ5&lt;&gt;"",$A$1&gt;=AJ5),"Y","N")</f>
        <v>N</v>
      </c>
      <c r="U5" s="51" t="str">
        <f aca="false">IF(D5&gt;(($A$1-WEEKDAY($A$1,2))-7*$D$2),"Y","N")</f>
        <v>N</v>
      </c>
      <c r="V5" s="49" t="str">
        <f aca="false">IF(AR5&gt;0,"Y","N")</f>
        <v>N</v>
      </c>
      <c r="W5" s="51" t="str">
        <f aca="false">IF(AND(U5="Y",V5="N"),"Y","N")</f>
        <v>N</v>
      </c>
      <c r="X5" s="52" t="str">
        <f aca="false">IF(OR(S5="Y",AND(V5="Y",T5="Y"), $A$1=AJ5),"Y","N")</f>
        <v>N</v>
      </c>
      <c r="Y5" s="49" t="str">
        <f aca="false">IF(OR(AD5="Y",AD5="N"),AD5,IF(AND(R5="Y", OR(U5="Y",W5="Y", X5="Y")),"Y","N"))</f>
        <v>N</v>
      </c>
      <c r="Z5" s="51" t="str">
        <f aca="false">IF(OR(Q5="Y", V5="Y",X5="Y"),"Y","N")</f>
        <v>N</v>
      </c>
      <c r="AA5" s="53" t="str">
        <f aca="false">" -  "&amp;O5&amp;AN5</f>
        <v>-  I</v>
      </c>
      <c r="AB5" s="51" t="str">
        <f aca="false">IFERROR(VLOOKUP(WEEKDAY(AC5),Static!$AL$3:$AM$11,2,0),"")</f>
        <v/>
      </c>
      <c r="AC5" s="49" t="str">
        <f aca="false">IF(AI5&lt;&gt;"",AI5,AV5)</f>
        <v/>
      </c>
      <c r="AD5" s="54"/>
      <c r="AE5" s="54"/>
      <c r="AF5" s="55" t="s">
        <v>781</v>
      </c>
      <c r="AG5" s="56"/>
      <c r="AH5" s="58"/>
      <c r="AI5" s="54"/>
      <c r="AJ5" s="54"/>
      <c r="AK5" s="57"/>
      <c r="AL5" s="54"/>
      <c r="AM5" s="54"/>
      <c r="AN5" s="54"/>
      <c r="AO5" s="58"/>
      <c r="AP5" s="56"/>
      <c r="AQ5" s="56"/>
      <c r="AR5" s="51" t="n">
        <f aca="false">SUM(F5:I5)</f>
        <v>0</v>
      </c>
      <c r="AS5" s="59" t="n">
        <f aca="false">IF(AG5="",1,IF(K5&lt;&gt;0,(G5*0.5+J5)/K5,1))</f>
        <v>1</v>
      </c>
      <c r="AT5" s="60" t="str">
        <f aca="false">IF(AP5="","",IF(ISERROR(FIND(CHAR(10),AP5,1)),AP5,LEFT(AP5,FIND(CHAR(10),AP5,1))))</f>
        <v/>
      </c>
      <c r="AU5" s="61" t="str">
        <f aca="false">IF(AP5="","",IFERROR(RIGHT(AP5,LEN(AP5)-FIND("@@@",SUBSTITUTE(AP5,CHAR(10),"@@@",LEN(AP5)-LEN(SUBSTITUTE(AP5,CHAR(10),""))),1)),AP5))</f>
        <v/>
      </c>
      <c r="AV5" s="62" t="str">
        <f aca="false">IFERROR(DATE(("20"&amp;MID(AT5,7,2))*1,MID(AT5,4,2)*1,MID(AT5,1,2)*1),"")</f>
        <v/>
      </c>
      <c r="AW5" s="62" t="str">
        <f aca="false">IFERROR(DATE(("20"&amp;MID(AU5,7,2))*1,MID(AU5,4,2)*1,MID(AU5,1,2)*1),"")</f>
        <v/>
      </c>
      <c r="AX5" s="56" t="s">
        <v>450</v>
      </c>
    </row>
    <row r="6" customFormat="false" ht="12.75" hidden="false" customHeight="true" outlineLevel="0" collapsed="false">
      <c r="A6" s="63"/>
      <c r="B6" s="49" t="str">
        <f aca="false">IF(AL6="","tbc",AL6)</f>
        <v>tbc</v>
      </c>
      <c r="C6" s="49" t="str">
        <f aca="false">IF(AM6="","VNT",AM6)</f>
        <v>VNT</v>
      </c>
      <c r="D6" s="49" t="n">
        <f aca="false">MAX(AC6,IF(AW6="none",AC6,AW6))</f>
        <v>0</v>
      </c>
      <c r="E6" s="50" t="n">
        <f aca="false">IFERROR(DAYS360(AC6,D6),0)</f>
        <v>0</v>
      </c>
      <c r="F6" s="50" t="n">
        <f aca="false">((LEN($AQ6)-LEN(SUBSTITUTE($AQ6,CHAR(10)&amp;". ","")))/3)+IF(LEFT(TRIM($AQ6),2)=". ",1,0)</f>
        <v>0</v>
      </c>
      <c r="G6" s="50" t="n">
        <f aca="false">((LEN($AQ6)-LEN(SUBSTITUTE($AQ6,CHAR(10)&amp;"/ ","")))/3)+IF(LEFT(TRIM($AQ6),2)="/ ",1,0)</f>
        <v>0</v>
      </c>
      <c r="H6" s="50" t="n">
        <f aca="false">((LEN($AQ6)-LEN(SUBSTITUTE($AQ6,CHAR(10)&amp;"~ ","")))/3)+IF(LEFT(TRIM($AQ6),2)="~ ",1,0)</f>
        <v>0</v>
      </c>
      <c r="I6" s="50" t="n">
        <f aca="false">((LEN($AQ6)-LEN(SUBSTITUTE($AQ6,CHAR(10)&amp;"! ","")))/3)+IF(LEFT(TRIM($AQ6),2)="! ",1,0)</f>
        <v>0</v>
      </c>
      <c r="J6" s="50" t="n">
        <f aca="false">((LEN($AQ6)-LEN(SUBSTITUTE($AQ6,CHAR(10)&amp;"x ","")))/3)+IF(LEFT(TRIM($AQ6),2)="x ",1,0)</f>
        <v>0</v>
      </c>
      <c r="K6" s="50" t="n">
        <f aca="false">SUM(F6:J6)</f>
        <v>0</v>
      </c>
      <c r="L6" s="51" t="n">
        <f aca="false">YEAR(D6)</f>
        <v>1899</v>
      </c>
      <c r="M6" s="51" t="str">
        <f aca="false">VLOOKUP(MONTH(D6),Static!$AJ$3:$AK$16,2,0)</f>
        <v>Dec</v>
      </c>
      <c r="N6" s="51" t="n">
        <f aca="false">WEEKNUM(D6,1)</f>
        <v>52</v>
      </c>
      <c r="O6" s="51" t="str">
        <f aca="false">IFERROR(INDEX(Static!$I$5:$L$15,MATCH(AF6,Static!$I$5:$I$15,0),3),"Z")</f>
        <v>Z</v>
      </c>
      <c r="P6" s="51" t="str">
        <f aca="false">IFERROR(INDEX(#REF!,MATCH(AN6,#REF!,0),3),"Z")</f>
        <v>Z</v>
      </c>
      <c r="Q6" s="51" t="str">
        <f aca="false">IFERROR(INDEX(Static!$I$5:$L$15,MATCH(AF6,Static!$I$5:$I$15,0),2),"Y")</f>
        <v>Y</v>
      </c>
      <c r="R6" s="51" t="str">
        <f aca="false">IFERROR(INDEX(Static!$I$5:$L$15,MATCH(AF6,Static!$I$5:$I$15,0),4),"Y")</f>
        <v>Y</v>
      </c>
      <c r="S6" s="51" t="str">
        <f aca="false">IF(AND(AJ6&lt;&gt;"",T6="N",$A$1&gt;=AJ6-(7*$D$2)),"Y","N")</f>
        <v>N</v>
      </c>
      <c r="T6" s="51" t="str">
        <f aca="false">IF(AND(AJ6&lt;&gt;"",$A$1&gt;=AJ6),"Y","N")</f>
        <v>N</v>
      </c>
      <c r="U6" s="51" t="str">
        <f aca="false">IF(D6&gt;(($A$1-WEEKDAY($A$1,2))-7*$D$2),"Y","N")</f>
        <v>N</v>
      </c>
      <c r="V6" s="49" t="str">
        <f aca="false">IF(AR6&gt;0,"Y","N")</f>
        <v>N</v>
      </c>
      <c r="W6" s="51" t="str">
        <f aca="false">IF(AND(U6="Y",V6="N"),"Y","N")</f>
        <v>N</v>
      </c>
      <c r="X6" s="52" t="str">
        <f aca="false">IF(OR(S6="Y",AND(V6="Y",T6="Y"), $A$1=AJ6),"Y","N")</f>
        <v>N</v>
      </c>
      <c r="Y6" s="49" t="str">
        <f aca="false">IF(OR(AD6="Y",AD6="N"),AD6,IF(AND(R6="Y", OR(U6="Y",W6="Y", X6="Y")),"Y","N"))</f>
        <v>N</v>
      </c>
      <c r="Z6" s="51" t="str">
        <f aca="false">IF(OR(Q6="Y", V6="Y",X6="Y"),"Y","N")</f>
        <v>Y</v>
      </c>
      <c r="AA6" s="53" t="str">
        <f aca="false">" -  "&amp;O6&amp;AN6</f>
        <v>-  Z</v>
      </c>
      <c r="AB6" s="51" t="str">
        <f aca="false">IFERROR(VLOOKUP(WEEKDAY(AC6),Static!$AL$3:$AM$11,2,0),"")</f>
        <v/>
      </c>
      <c r="AC6" s="49" t="str">
        <f aca="false">IF(AI6&lt;&gt;"",AI6,AV6)</f>
        <v/>
      </c>
      <c r="AD6" s="54"/>
      <c r="AE6" s="54"/>
      <c r="AF6" s="55"/>
      <c r="AG6" s="56"/>
      <c r="AH6" s="58"/>
      <c r="AI6" s="54"/>
      <c r="AJ6" s="54"/>
      <c r="AK6" s="57"/>
      <c r="AL6" s="54"/>
      <c r="AM6" s="54"/>
      <c r="AN6" s="54"/>
      <c r="AO6" s="58"/>
      <c r="AP6" s="56"/>
      <c r="AQ6" s="58"/>
      <c r="AR6" s="51" t="n">
        <f aca="false">SUM(F6:I6)</f>
        <v>0</v>
      </c>
      <c r="AS6" s="59" t="n">
        <f aca="false">IF(AG6="",1,IF(K6&lt;&gt;0,(G6*0.5+J6)/K6,1))</f>
        <v>1</v>
      </c>
      <c r="AT6" s="60" t="str">
        <f aca="false">IF(AP6="","",IF(ISERROR(FIND(CHAR(10),AP6,1)),AP6,LEFT(AP6,FIND(CHAR(10),AP6,1))))</f>
        <v/>
      </c>
      <c r="AU6" s="61" t="str">
        <f aca="false">IF(AP6="","",IFERROR(RIGHT(AP6,LEN(AP6)-FIND("@@@",SUBSTITUTE(AP6,CHAR(10),"@@@",LEN(AP6)-LEN(SUBSTITUTE(AP6,CHAR(10),""))),1)),AP6))</f>
        <v/>
      </c>
      <c r="AV6" s="62" t="str">
        <f aca="false">IFERROR(DATE(("20"&amp;MID(AT6,7,2))*1,MID(AT6,4,2)*1,MID(AT6,1,2)*1),"")</f>
        <v/>
      </c>
      <c r="AW6" s="62" t="str">
        <f aca="false">IFERROR(DATE(("20"&amp;MID(AU6,7,2))*1,MID(AU6,4,2)*1,MID(AU6,1,2)*1),"")</f>
        <v/>
      </c>
      <c r="AX6" s="56" t="s">
        <v>450</v>
      </c>
    </row>
    <row r="7" customFormat="false" ht="12.75" hidden="false" customHeight="true" outlineLevel="0" collapsed="false">
      <c r="A7" s="63"/>
      <c r="B7" s="49" t="str">
        <f aca="false">IF(AL7="","tbc",AL7)</f>
        <v>tbc</v>
      </c>
      <c r="C7" s="49" t="str">
        <f aca="false">IF(AM7="","VNT",AM7)</f>
        <v>VNT</v>
      </c>
      <c r="D7" s="49" t="n">
        <f aca="false">MAX(AC7,IF(AW7="none",AC7,AW7))</f>
        <v>0</v>
      </c>
      <c r="E7" s="50" t="n">
        <f aca="false">IFERROR(DAYS360(AC7,D7),0)</f>
        <v>0</v>
      </c>
      <c r="F7" s="50" t="n">
        <f aca="false">((LEN($AQ7)-LEN(SUBSTITUTE($AQ7,CHAR(10)&amp;". ","")))/3)+IF(LEFT(TRIM($AQ7),2)=". ",1,0)</f>
        <v>0</v>
      </c>
      <c r="G7" s="50" t="n">
        <f aca="false">((LEN($AQ7)-LEN(SUBSTITUTE($AQ7,CHAR(10)&amp;"/ ","")))/3)+IF(LEFT(TRIM($AQ7),2)="/ ",1,0)</f>
        <v>0</v>
      </c>
      <c r="H7" s="50" t="n">
        <f aca="false">((LEN($AQ7)-LEN(SUBSTITUTE($AQ7,CHAR(10)&amp;"~ ","")))/3)+IF(LEFT(TRIM($AQ7),2)="~ ",1,0)</f>
        <v>0</v>
      </c>
      <c r="I7" s="50" t="n">
        <f aca="false">((LEN($AQ7)-LEN(SUBSTITUTE($AQ7,CHAR(10)&amp;"! ","")))/3)+IF(LEFT(TRIM($AQ7),2)="! ",1,0)</f>
        <v>0</v>
      </c>
      <c r="J7" s="50" t="n">
        <f aca="false">((LEN($AQ7)-LEN(SUBSTITUTE($AQ7,CHAR(10)&amp;"x ","")))/3)+IF(LEFT(TRIM($AQ7),2)="x ",1,0)</f>
        <v>0</v>
      </c>
      <c r="K7" s="50" t="n">
        <f aca="false">SUM(F7:J7)</f>
        <v>0</v>
      </c>
      <c r="L7" s="51" t="n">
        <f aca="false">YEAR(D7)</f>
        <v>1899</v>
      </c>
      <c r="M7" s="51" t="str">
        <f aca="false">VLOOKUP(MONTH(D7),Static!$AJ$3:$AK$16,2,0)</f>
        <v>Dec</v>
      </c>
      <c r="N7" s="51" t="n">
        <f aca="false">WEEKNUM(D7,1)</f>
        <v>52</v>
      </c>
      <c r="O7" s="51" t="str">
        <f aca="false">IFERROR(INDEX(Static!$I$5:$L$15,MATCH(AF7,Static!$I$5:$I$15,0),3),"Z")</f>
        <v>Z</v>
      </c>
      <c r="P7" s="51" t="str">
        <f aca="false">IFERROR(INDEX(#REF!,MATCH(AN7,#REF!,0),3),"Z")</f>
        <v>Z</v>
      </c>
      <c r="Q7" s="51" t="str">
        <f aca="false">IFERROR(INDEX(Static!$I$5:$L$15,MATCH(AF7,Static!$I$5:$I$15,0),2),"Y")</f>
        <v>Y</v>
      </c>
      <c r="R7" s="51" t="str">
        <f aca="false">IFERROR(INDEX(Static!$I$5:$L$15,MATCH(AF7,Static!$I$5:$I$15,0),4),"Y")</f>
        <v>Y</v>
      </c>
      <c r="S7" s="51" t="str">
        <f aca="false">IF(AND(AJ7&lt;&gt;"",T7="N",$A$1&gt;=AJ7-(7*$D$2)),"Y","N")</f>
        <v>N</v>
      </c>
      <c r="T7" s="51" t="str">
        <f aca="false">IF(AND(AJ7&lt;&gt;"",$A$1&gt;=AJ7),"Y","N")</f>
        <v>N</v>
      </c>
      <c r="U7" s="51" t="str">
        <f aca="false">IF(D7&gt;(($A$1-WEEKDAY($A$1,2))-7*$D$2),"Y","N")</f>
        <v>N</v>
      </c>
      <c r="V7" s="49" t="str">
        <f aca="false">IF(AR7&gt;0,"Y","N")</f>
        <v>N</v>
      </c>
      <c r="W7" s="51" t="str">
        <f aca="false">IF(AND(U7="Y",V7="N"),"Y","N")</f>
        <v>N</v>
      </c>
      <c r="X7" s="52" t="str">
        <f aca="false">IF(OR(S7="Y",AND(V7="Y",T7="Y"), $A$1=AJ7),"Y","N")</f>
        <v>N</v>
      </c>
      <c r="Y7" s="49" t="str">
        <f aca="false">IF(OR(AD7="Y",AD7="N"),AD7,IF(AND(R7="Y", OR(U7="Y",W7="Y", X7="Y")),"Y","N"))</f>
        <v>N</v>
      </c>
      <c r="Z7" s="51" t="str">
        <f aca="false">IF(OR(Q7="Y", V7="Y",X7="Y"),"Y","N")</f>
        <v>Y</v>
      </c>
      <c r="AA7" s="53" t="str">
        <f aca="false">" -  "&amp;O7&amp;AN7</f>
        <v>-  Z</v>
      </c>
      <c r="AB7" s="51" t="str">
        <f aca="false">IFERROR(VLOOKUP(WEEKDAY(AC7),Static!$AL$3:$AM$11,2,0),"")</f>
        <v/>
      </c>
      <c r="AC7" s="49" t="str">
        <f aca="false">IF(AI7&lt;&gt;"",AI7,AV7)</f>
        <v/>
      </c>
      <c r="AD7" s="54"/>
      <c r="AE7" s="54"/>
      <c r="AF7" s="55"/>
      <c r="AG7" s="56"/>
      <c r="AH7" s="58"/>
      <c r="AI7" s="54"/>
      <c r="AJ7" s="54"/>
      <c r="AK7" s="57"/>
      <c r="AL7" s="54"/>
      <c r="AM7" s="54"/>
      <c r="AN7" s="54"/>
      <c r="AO7" s="58"/>
      <c r="AP7" s="56"/>
      <c r="AQ7" s="58"/>
      <c r="AR7" s="51" t="n">
        <f aca="false">SUM(F7:I7)</f>
        <v>0</v>
      </c>
      <c r="AS7" s="59" t="n">
        <f aca="false">IF(AG7="",1,IF(K7&lt;&gt;0,(G7*0.5+J7)/K7,1))</f>
        <v>1</v>
      </c>
      <c r="AT7" s="60" t="str">
        <f aca="false">IF(AP7="","",IF(ISERROR(FIND(CHAR(10),AP7,1)),AP7,LEFT(AP7,FIND(CHAR(10),AP7,1))))</f>
        <v/>
      </c>
      <c r="AU7" s="61" t="str">
        <f aca="false">IF(AP7="","",IFERROR(RIGHT(AP7,LEN(AP7)-FIND("@@@",SUBSTITUTE(AP7,CHAR(10),"@@@",LEN(AP7)-LEN(SUBSTITUTE(AP7,CHAR(10),""))),1)),AP7))</f>
        <v/>
      </c>
      <c r="AV7" s="62" t="str">
        <f aca="false">IFERROR(DATE(("20"&amp;MID(AT7,7,2))*1,MID(AT7,4,2)*1,MID(AT7,1,2)*1),"")</f>
        <v/>
      </c>
      <c r="AW7" s="62" t="str">
        <f aca="false">IFERROR(DATE(("20"&amp;MID(AU7,7,2))*1,MID(AU7,4,2)*1,MID(AU7,1,2)*1),"")</f>
        <v/>
      </c>
      <c r="AX7" s="56" t="s">
        <v>450</v>
      </c>
    </row>
    <row r="8" customFormat="false" ht="12.75" hidden="false" customHeight="true" outlineLevel="0" collapsed="false">
      <c r="A8" s="63"/>
      <c r="B8" s="49" t="str">
        <f aca="false">IF(AL8="","tbc",AL8)</f>
        <v>tbc</v>
      </c>
      <c r="C8" s="49" t="str">
        <f aca="false">IF(AM8="","VNT",AM8)</f>
        <v>VNT</v>
      </c>
      <c r="D8" s="49" t="n">
        <f aca="false">MAX(AC8,IF(AW8="none",AC8,AW8))</f>
        <v>0</v>
      </c>
      <c r="E8" s="50" t="n">
        <f aca="false">IFERROR(DAYS360(AC8,D8),0)</f>
        <v>0</v>
      </c>
      <c r="F8" s="50" t="n">
        <f aca="false">((LEN($AQ8)-LEN(SUBSTITUTE($AQ8,CHAR(10)&amp;". ","")))/3)+IF(LEFT(TRIM($AQ8),2)=". ",1,0)</f>
        <v>0</v>
      </c>
      <c r="G8" s="50" t="n">
        <f aca="false">((LEN($AQ8)-LEN(SUBSTITUTE($AQ8,CHAR(10)&amp;"/ ","")))/3)+IF(LEFT(TRIM($AQ8),2)="/ ",1,0)</f>
        <v>0</v>
      </c>
      <c r="H8" s="50" t="n">
        <f aca="false">((LEN($AQ8)-LEN(SUBSTITUTE($AQ8,CHAR(10)&amp;"~ ","")))/3)+IF(LEFT(TRIM($AQ8),2)="~ ",1,0)</f>
        <v>0</v>
      </c>
      <c r="I8" s="50" t="n">
        <f aca="false">((LEN($AQ8)-LEN(SUBSTITUTE($AQ8,CHAR(10)&amp;"! ","")))/3)+IF(LEFT(TRIM($AQ8),2)="! ",1,0)</f>
        <v>0</v>
      </c>
      <c r="J8" s="50" t="n">
        <f aca="false">((LEN($AQ8)-LEN(SUBSTITUTE($AQ8,CHAR(10)&amp;"x ","")))/3)+IF(LEFT(TRIM($AQ8),2)="x ",1,0)</f>
        <v>0</v>
      </c>
      <c r="K8" s="50" t="n">
        <f aca="false">SUM(F8:J8)</f>
        <v>0</v>
      </c>
      <c r="L8" s="51" t="n">
        <f aca="false">YEAR(D8)</f>
        <v>1899</v>
      </c>
      <c r="M8" s="51" t="str">
        <f aca="false">VLOOKUP(MONTH(D8),Static!$AJ$3:$AK$16,2,0)</f>
        <v>Dec</v>
      </c>
      <c r="N8" s="51" t="n">
        <f aca="false">WEEKNUM(D8,1)</f>
        <v>52</v>
      </c>
      <c r="O8" s="51" t="str">
        <f aca="false">IFERROR(INDEX(Static!$I$5:$L$15,MATCH(AF8,Static!$I$5:$I$15,0),3),"Z")</f>
        <v>Z</v>
      </c>
      <c r="P8" s="51" t="str">
        <f aca="false">IFERROR(INDEX(#REF!,MATCH(AN8,#REF!,0),3),"Z")</f>
        <v>Z</v>
      </c>
      <c r="Q8" s="51" t="str">
        <f aca="false">IFERROR(INDEX(Static!$I$5:$L$15,MATCH(AF8,Static!$I$5:$I$15,0),2),"Y")</f>
        <v>Y</v>
      </c>
      <c r="R8" s="51" t="str">
        <f aca="false">IFERROR(INDEX(Static!$I$5:$L$15,MATCH(AF8,Static!$I$5:$I$15,0),4),"Y")</f>
        <v>Y</v>
      </c>
      <c r="S8" s="51" t="str">
        <f aca="false">IF(AND(AJ8&lt;&gt;"",T8="N",$A$1&gt;=AJ8-(7*$D$2)),"Y","N")</f>
        <v>N</v>
      </c>
      <c r="T8" s="51" t="str">
        <f aca="false">IF(AND(AJ8&lt;&gt;"",$A$1&gt;=AJ8),"Y","N")</f>
        <v>N</v>
      </c>
      <c r="U8" s="51" t="str">
        <f aca="false">IF(D8&gt;(($A$1-WEEKDAY($A$1,2))-7*$D$2),"Y","N")</f>
        <v>N</v>
      </c>
      <c r="V8" s="49" t="str">
        <f aca="false">IF(AR8&gt;0,"Y","N")</f>
        <v>N</v>
      </c>
      <c r="W8" s="51" t="str">
        <f aca="false">IF(AND(U8="Y",V8="N"),"Y","N")</f>
        <v>N</v>
      </c>
      <c r="X8" s="52" t="str">
        <f aca="false">IF(OR(S8="Y",AND(V8="Y",T8="Y"), $A$1=AJ8),"Y","N")</f>
        <v>N</v>
      </c>
      <c r="Y8" s="49" t="str">
        <f aca="false">IF(OR(AD8="Y",AD8="N"),AD8,IF(AND(R8="Y", OR(U8="Y",W8="Y", X8="Y")),"Y","N"))</f>
        <v>N</v>
      </c>
      <c r="Z8" s="51" t="str">
        <f aca="false">IF(OR(Q8="Y", V8="Y",X8="Y"),"Y","N")</f>
        <v>Y</v>
      </c>
      <c r="AA8" s="53" t="str">
        <f aca="false">" -  "&amp;O8&amp;AN8</f>
        <v>-  Z</v>
      </c>
      <c r="AB8" s="51" t="str">
        <f aca="false">IFERROR(VLOOKUP(WEEKDAY(AC8),Static!$AL$3:$AM$11,2,0),"")</f>
        <v/>
      </c>
      <c r="AC8" s="49" t="str">
        <f aca="false">IF(AI8&lt;&gt;"",AI8,AV8)</f>
        <v/>
      </c>
      <c r="AD8" s="54"/>
      <c r="AE8" s="54"/>
      <c r="AF8" s="55"/>
      <c r="AG8" s="56"/>
      <c r="AH8" s="58"/>
      <c r="AI8" s="54"/>
      <c r="AJ8" s="54"/>
      <c r="AK8" s="57"/>
      <c r="AL8" s="54"/>
      <c r="AM8" s="54"/>
      <c r="AN8" s="54"/>
      <c r="AO8" s="58"/>
      <c r="AP8" s="56"/>
      <c r="AQ8" s="58"/>
      <c r="AR8" s="51" t="n">
        <f aca="false">SUM(F8:I8)</f>
        <v>0</v>
      </c>
      <c r="AS8" s="59" t="n">
        <f aca="false">IF(AG8="",1,IF(K8&lt;&gt;0,(G8*0.5+J8)/K8,1))</f>
        <v>1</v>
      </c>
      <c r="AT8" s="60" t="str">
        <f aca="false">IF(AP8="","",IF(ISERROR(FIND(CHAR(10),AP8,1)),AP8,LEFT(AP8,FIND(CHAR(10),AP8,1))))</f>
        <v/>
      </c>
      <c r="AU8" s="61" t="str">
        <f aca="false">IF(AP8="","",IFERROR(RIGHT(AP8,LEN(AP8)-FIND("@@@",SUBSTITUTE(AP8,CHAR(10),"@@@",LEN(AP8)-LEN(SUBSTITUTE(AP8,CHAR(10),""))),1)),AP8))</f>
        <v/>
      </c>
      <c r="AV8" s="62" t="str">
        <f aca="false">IFERROR(DATE(("20"&amp;MID(AT8,7,2))*1,MID(AT8,4,2)*1,MID(AT8,1,2)*1),"")</f>
        <v/>
      </c>
      <c r="AW8" s="62" t="str">
        <f aca="false">IFERROR(DATE(("20"&amp;MID(AU8,7,2))*1,MID(AU8,4,2)*1,MID(AU8,1,2)*1),"")</f>
        <v/>
      </c>
      <c r="AX8" s="56" t="s">
        <v>450</v>
      </c>
    </row>
    <row r="9" customFormat="false" ht="12.75" hidden="false" customHeight="true" outlineLevel="0" collapsed="false">
      <c r="A9" s="63"/>
      <c r="B9" s="49" t="str">
        <f aca="false">IF(AL9="","tbc",AL9)</f>
        <v>tbc</v>
      </c>
      <c r="C9" s="49" t="str">
        <f aca="false">IF(AM9="","VNT",AM9)</f>
        <v>VNT</v>
      </c>
      <c r="D9" s="49" t="n">
        <f aca="false">MAX(AC9,IF(AW9="none",AC9,AW9))</f>
        <v>0</v>
      </c>
      <c r="E9" s="50" t="n">
        <f aca="false">IFERROR(DAYS360(AC9,D9),0)</f>
        <v>0</v>
      </c>
      <c r="F9" s="50" t="n">
        <f aca="false">((LEN($AQ9)-LEN(SUBSTITUTE($AQ9,CHAR(10)&amp;". ","")))/3)+IF(LEFT(TRIM($AQ9),2)=". ",1,0)</f>
        <v>0</v>
      </c>
      <c r="G9" s="50" t="n">
        <f aca="false">((LEN($AQ9)-LEN(SUBSTITUTE($AQ9,CHAR(10)&amp;"/ ","")))/3)+IF(LEFT(TRIM($AQ9),2)="/ ",1,0)</f>
        <v>0</v>
      </c>
      <c r="H9" s="50" t="n">
        <f aca="false">((LEN($AQ9)-LEN(SUBSTITUTE($AQ9,CHAR(10)&amp;"~ ","")))/3)+IF(LEFT(TRIM($AQ9),2)="~ ",1,0)</f>
        <v>0</v>
      </c>
      <c r="I9" s="50" t="n">
        <f aca="false">((LEN($AQ9)-LEN(SUBSTITUTE($AQ9,CHAR(10)&amp;"! ","")))/3)+IF(LEFT(TRIM($AQ9),2)="! ",1,0)</f>
        <v>0</v>
      </c>
      <c r="J9" s="50" t="n">
        <f aca="false">((LEN($AQ9)-LEN(SUBSTITUTE($AQ9,CHAR(10)&amp;"x ","")))/3)+IF(LEFT(TRIM($AQ9),2)="x ",1,0)</f>
        <v>0</v>
      </c>
      <c r="K9" s="50" t="n">
        <f aca="false">SUM(F9:J9)</f>
        <v>0</v>
      </c>
      <c r="L9" s="51" t="n">
        <f aca="false">YEAR(D9)</f>
        <v>1899</v>
      </c>
      <c r="M9" s="51" t="str">
        <f aca="false">VLOOKUP(MONTH(D9),Static!$AJ$3:$AK$16,2,0)</f>
        <v>Dec</v>
      </c>
      <c r="N9" s="51" t="n">
        <f aca="false">WEEKNUM(D9,1)</f>
        <v>52</v>
      </c>
      <c r="O9" s="51" t="str">
        <f aca="false">IFERROR(INDEX(Static!$I$5:$L$15,MATCH(AF9,Static!$I$5:$I$15,0),3),"Z")</f>
        <v>Z</v>
      </c>
      <c r="P9" s="51" t="str">
        <f aca="false">IFERROR(INDEX(#REF!,MATCH(AN9,#REF!,0),3),"Z")</f>
        <v>Z</v>
      </c>
      <c r="Q9" s="51" t="str">
        <f aca="false">IFERROR(INDEX(Static!$I$5:$L$15,MATCH(AF9,Static!$I$5:$I$15,0),2),"Y")</f>
        <v>Y</v>
      </c>
      <c r="R9" s="51" t="str">
        <f aca="false">IFERROR(INDEX(Static!$I$5:$L$15,MATCH(AF9,Static!$I$5:$I$15,0),4),"Y")</f>
        <v>Y</v>
      </c>
      <c r="S9" s="51" t="str">
        <f aca="false">IF(AND(AJ9&lt;&gt;"",T9="N",$A$1&gt;=AJ9-(7*$D$2)),"Y","N")</f>
        <v>N</v>
      </c>
      <c r="T9" s="51" t="str">
        <f aca="false">IF(AND(AJ9&lt;&gt;"",$A$1&gt;=AJ9),"Y","N")</f>
        <v>N</v>
      </c>
      <c r="U9" s="51" t="str">
        <f aca="false">IF(D9&gt;(($A$1-WEEKDAY($A$1,2))-7*$D$2),"Y","N")</f>
        <v>N</v>
      </c>
      <c r="V9" s="49" t="str">
        <f aca="false">IF(AR9&gt;0,"Y","N")</f>
        <v>N</v>
      </c>
      <c r="W9" s="51" t="str">
        <f aca="false">IF(AND(U9="Y",V9="N"),"Y","N")</f>
        <v>N</v>
      </c>
      <c r="X9" s="52" t="str">
        <f aca="false">IF(OR(S9="Y",AND(V9="Y",T9="Y"), $A$1=AJ9),"Y","N")</f>
        <v>N</v>
      </c>
      <c r="Y9" s="49" t="str">
        <f aca="false">IF(OR(AD9="Y",AD9="N"),AD9,IF(AND(R9="Y", OR(U9="Y",W9="Y", X9="Y")),"Y","N"))</f>
        <v>N</v>
      </c>
      <c r="Z9" s="51" t="str">
        <f aca="false">IF(OR(Q9="Y", V9="Y",X9="Y"),"Y","N")</f>
        <v>Y</v>
      </c>
      <c r="AA9" s="53" t="str">
        <f aca="false">" -  "&amp;O9&amp;AN9</f>
        <v>-  Z</v>
      </c>
      <c r="AB9" s="51" t="str">
        <f aca="false">IFERROR(VLOOKUP(WEEKDAY(AC9),Static!$AL$3:$AM$11,2,0),"")</f>
        <v/>
      </c>
      <c r="AC9" s="49" t="str">
        <f aca="false">IF(AI9&lt;&gt;"",AI9,AV9)</f>
        <v/>
      </c>
      <c r="AD9" s="54"/>
      <c r="AE9" s="54"/>
      <c r="AF9" s="55"/>
      <c r="AG9" s="56"/>
      <c r="AH9" s="58"/>
      <c r="AI9" s="54"/>
      <c r="AJ9" s="54"/>
      <c r="AK9" s="57"/>
      <c r="AL9" s="54"/>
      <c r="AM9" s="54"/>
      <c r="AN9" s="54"/>
      <c r="AO9" s="58"/>
      <c r="AP9" s="56"/>
      <c r="AQ9" s="58"/>
      <c r="AR9" s="51" t="n">
        <f aca="false">SUM(F9:I9)</f>
        <v>0</v>
      </c>
      <c r="AS9" s="59" t="n">
        <f aca="false">IF(AG9="",1,IF(K9&lt;&gt;0,(G9*0.5+J9)/K9,1))</f>
        <v>1</v>
      </c>
      <c r="AT9" s="60" t="str">
        <f aca="false">IF(AP9="","",IF(ISERROR(FIND(CHAR(10),AP9,1)),AP9,LEFT(AP9,FIND(CHAR(10),AP9,1))))</f>
        <v/>
      </c>
      <c r="AU9" s="61" t="str">
        <f aca="false">IF(AP9="","",IFERROR(RIGHT(AP9,LEN(AP9)-FIND("@@@",SUBSTITUTE(AP9,CHAR(10),"@@@",LEN(AP9)-LEN(SUBSTITUTE(AP9,CHAR(10),""))),1)),AP9))</f>
        <v/>
      </c>
      <c r="AV9" s="62" t="str">
        <f aca="false">IFERROR(DATE(("20"&amp;MID(AT9,7,2))*1,MID(AT9,4,2)*1,MID(AT9,1,2)*1),"")</f>
        <v/>
      </c>
      <c r="AW9" s="62" t="str">
        <f aca="false">IFERROR(DATE(("20"&amp;MID(AU9,7,2))*1,MID(AU9,4,2)*1,MID(AU9,1,2)*1),"")</f>
        <v/>
      </c>
      <c r="AX9" s="56" t="s">
        <v>450</v>
      </c>
    </row>
    <row r="10" customFormat="false" ht="12.75" hidden="false" customHeight="true" outlineLevel="0" collapsed="false">
      <c r="A10" s="63"/>
      <c r="B10" s="49" t="str">
        <f aca="false">IF(AL10="","tbc",AL10)</f>
        <v>tbc</v>
      </c>
      <c r="C10" s="49" t="str">
        <f aca="false">IF(AM10="","VNT",AM10)</f>
        <v>VNT</v>
      </c>
      <c r="D10" s="49" t="n">
        <f aca="false">MAX(AC10,IF(AW10="none",AC10,AW10))</f>
        <v>0</v>
      </c>
      <c r="E10" s="50" t="n">
        <f aca="false">IFERROR(DAYS360(AC10,D10),0)</f>
        <v>0</v>
      </c>
      <c r="F10" s="50" t="n">
        <f aca="false">((LEN($AQ10)-LEN(SUBSTITUTE($AQ10,CHAR(10)&amp;". ","")))/3)+IF(LEFT(TRIM($AQ10),2)=". ",1,0)</f>
        <v>0</v>
      </c>
      <c r="G10" s="50" t="n">
        <f aca="false">((LEN($AQ10)-LEN(SUBSTITUTE($AQ10,CHAR(10)&amp;"/ ","")))/3)+IF(LEFT(TRIM($AQ10),2)="/ ",1,0)</f>
        <v>0</v>
      </c>
      <c r="H10" s="50" t="n">
        <f aca="false">((LEN($AQ10)-LEN(SUBSTITUTE($AQ10,CHAR(10)&amp;"~ ","")))/3)+IF(LEFT(TRIM($AQ10),2)="~ ",1,0)</f>
        <v>0</v>
      </c>
      <c r="I10" s="50" t="n">
        <f aca="false">((LEN($AQ10)-LEN(SUBSTITUTE($AQ10,CHAR(10)&amp;"! ","")))/3)+IF(LEFT(TRIM($AQ10),2)="! ",1,0)</f>
        <v>0</v>
      </c>
      <c r="J10" s="50" t="n">
        <f aca="false">((LEN($AQ10)-LEN(SUBSTITUTE($AQ10,CHAR(10)&amp;"x ","")))/3)+IF(LEFT(TRIM($AQ10),2)="x ",1,0)</f>
        <v>0</v>
      </c>
      <c r="K10" s="50" t="n">
        <f aca="false">SUM(F10:J10)</f>
        <v>0</v>
      </c>
      <c r="L10" s="51" t="n">
        <f aca="false">YEAR(D10)</f>
        <v>1899</v>
      </c>
      <c r="M10" s="51" t="str">
        <f aca="false">VLOOKUP(MONTH(D10),Static!$AJ$3:$AK$16,2,0)</f>
        <v>Dec</v>
      </c>
      <c r="N10" s="51" t="n">
        <f aca="false">WEEKNUM(D10,1)</f>
        <v>52</v>
      </c>
      <c r="O10" s="51" t="str">
        <f aca="false">IFERROR(INDEX(Static!$I$5:$L$15,MATCH(AF10,Static!$I$5:$I$15,0),3),"Z")</f>
        <v>Z</v>
      </c>
      <c r="P10" s="51" t="str">
        <f aca="false">IFERROR(INDEX(#REF!,MATCH(AN10,#REF!,0),3),"Z")</f>
        <v>Z</v>
      </c>
      <c r="Q10" s="51" t="str">
        <f aca="false">IFERROR(INDEX(Static!$I$5:$L$15,MATCH(AF10,Static!$I$5:$I$15,0),2),"Y")</f>
        <v>Y</v>
      </c>
      <c r="R10" s="51" t="str">
        <f aca="false">IFERROR(INDEX(Static!$I$5:$L$15,MATCH(AF10,Static!$I$5:$I$15,0),4),"Y")</f>
        <v>Y</v>
      </c>
      <c r="S10" s="51" t="str">
        <f aca="false">IF(AND(AJ10&lt;&gt;"",T10="N",$A$1&gt;=AJ10-(7*$D$2)),"Y","N")</f>
        <v>N</v>
      </c>
      <c r="T10" s="51" t="str">
        <f aca="false">IF(AND(AJ10&lt;&gt;"",$A$1&gt;=AJ10),"Y","N")</f>
        <v>N</v>
      </c>
      <c r="U10" s="51" t="str">
        <f aca="false">IF(D10&gt;(($A$1-WEEKDAY($A$1,2))-7*$D$2),"Y","N")</f>
        <v>N</v>
      </c>
      <c r="V10" s="49" t="str">
        <f aca="false">IF(AR10&gt;0,"Y","N")</f>
        <v>N</v>
      </c>
      <c r="W10" s="51" t="str">
        <f aca="false">IF(AND(U10="Y",V10="N"),"Y","N")</f>
        <v>N</v>
      </c>
      <c r="X10" s="52" t="str">
        <f aca="false">IF(OR(S10="Y",AND(V10="Y",T10="Y"), $A$1=AJ10),"Y","N")</f>
        <v>N</v>
      </c>
      <c r="Y10" s="49" t="str">
        <f aca="false">IF(OR(AD10="Y",AD10="N"),AD10,IF(AND(R10="Y", OR(U10="Y",W10="Y", X10="Y")),"Y","N"))</f>
        <v>N</v>
      </c>
      <c r="Z10" s="51" t="str">
        <f aca="false">IF(OR(Q10="Y", V10="Y",X10="Y"),"Y","N")</f>
        <v>Y</v>
      </c>
      <c r="AA10" s="53" t="str">
        <f aca="false">" -  "&amp;O10&amp;AN10</f>
        <v>-  Z</v>
      </c>
      <c r="AB10" s="51" t="str">
        <f aca="false">IFERROR(VLOOKUP(WEEKDAY(AC10),Static!$AL$3:$AM$11,2,0),"")</f>
        <v/>
      </c>
      <c r="AC10" s="49" t="str">
        <f aca="false">IF(AI10&lt;&gt;"",AI10,AV10)</f>
        <v/>
      </c>
      <c r="AD10" s="54"/>
      <c r="AE10" s="54"/>
      <c r="AF10" s="55"/>
      <c r="AG10" s="56"/>
      <c r="AH10" s="58"/>
      <c r="AI10" s="54"/>
      <c r="AJ10" s="54"/>
      <c r="AK10" s="57"/>
      <c r="AL10" s="54"/>
      <c r="AM10" s="54"/>
      <c r="AN10" s="54"/>
      <c r="AO10" s="58"/>
      <c r="AP10" s="56"/>
      <c r="AQ10" s="58"/>
      <c r="AR10" s="51" t="n">
        <f aca="false">SUM(F10:I10)</f>
        <v>0</v>
      </c>
      <c r="AS10" s="59" t="n">
        <f aca="false">IF(AG10="",1,IF(K10&lt;&gt;0,(G10*0.5+J10)/K10,1))</f>
        <v>1</v>
      </c>
      <c r="AT10" s="60" t="str">
        <f aca="false">IF(AP10="","",IF(ISERROR(FIND(CHAR(10),AP10,1)),AP10,LEFT(AP10,FIND(CHAR(10),AP10,1))))</f>
        <v/>
      </c>
      <c r="AU10" s="61" t="str">
        <f aca="false">IF(AP10="","",IFERROR(RIGHT(AP10,LEN(AP10)-FIND("@@@",SUBSTITUTE(AP10,CHAR(10),"@@@",LEN(AP10)-LEN(SUBSTITUTE(AP10,CHAR(10),""))),1)),AP10))</f>
        <v/>
      </c>
      <c r="AV10" s="62" t="str">
        <f aca="false">IFERROR(DATE(("20"&amp;MID(AT10,7,2))*1,MID(AT10,4,2)*1,MID(AT10,1,2)*1),"")</f>
        <v/>
      </c>
      <c r="AW10" s="62" t="str">
        <f aca="false">IFERROR(DATE(("20"&amp;MID(AU10,7,2))*1,MID(AU10,4,2)*1,MID(AU10,1,2)*1),"")</f>
        <v/>
      </c>
      <c r="AX10" s="56" t="s">
        <v>450</v>
      </c>
    </row>
    <row r="11" customFormat="false" ht="12.75" hidden="false" customHeight="true" outlineLevel="0" collapsed="false">
      <c r="A11" s="63"/>
      <c r="B11" s="49" t="str">
        <f aca="false">IF(AL11="","tbc",AL11)</f>
        <v>tbc</v>
      </c>
      <c r="C11" s="49" t="str">
        <f aca="false">IF(AM11="","VNT",AM11)</f>
        <v>VNT</v>
      </c>
      <c r="D11" s="49" t="n">
        <f aca="false">MAX(AC11,IF(AW11="none",AC11,AW11))</f>
        <v>0</v>
      </c>
      <c r="E11" s="50" t="n">
        <f aca="false">IFERROR(DAYS360(AC11,D11),0)</f>
        <v>0</v>
      </c>
      <c r="F11" s="50" t="n">
        <f aca="false">((LEN($AQ11)-LEN(SUBSTITUTE($AQ11,CHAR(10)&amp;". ","")))/3)+IF(LEFT(TRIM($AQ11),2)=". ",1,0)</f>
        <v>0</v>
      </c>
      <c r="G11" s="50" t="n">
        <f aca="false">((LEN($AQ11)-LEN(SUBSTITUTE($AQ11,CHAR(10)&amp;"/ ","")))/3)+IF(LEFT(TRIM($AQ11),2)="/ ",1,0)</f>
        <v>0</v>
      </c>
      <c r="H11" s="50" t="n">
        <f aca="false">((LEN($AQ11)-LEN(SUBSTITUTE($AQ11,CHAR(10)&amp;"~ ","")))/3)+IF(LEFT(TRIM($AQ11),2)="~ ",1,0)</f>
        <v>0</v>
      </c>
      <c r="I11" s="50" t="n">
        <f aca="false">((LEN($AQ11)-LEN(SUBSTITUTE($AQ11,CHAR(10)&amp;"! ","")))/3)+IF(LEFT(TRIM($AQ11),2)="! ",1,0)</f>
        <v>0</v>
      </c>
      <c r="J11" s="50" t="n">
        <f aca="false">((LEN($AQ11)-LEN(SUBSTITUTE($AQ11,CHAR(10)&amp;"x ","")))/3)+IF(LEFT(TRIM($AQ11),2)="x ",1,0)</f>
        <v>0</v>
      </c>
      <c r="K11" s="50" t="n">
        <f aca="false">SUM(F11:J11)</f>
        <v>0</v>
      </c>
      <c r="L11" s="51" t="n">
        <f aca="false">YEAR(D11)</f>
        <v>1899</v>
      </c>
      <c r="M11" s="51" t="str">
        <f aca="false">VLOOKUP(MONTH(D11),Static!$AJ$3:$AK$16,2,0)</f>
        <v>Dec</v>
      </c>
      <c r="N11" s="51" t="n">
        <f aca="false">WEEKNUM(D11,1)</f>
        <v>52</v>
      </c>
      <c r="O11" s="51" t="str">
        <f aca="false">IFERROR(INDEX(Static!$I$5:$L$15,MATCH(AF11,Static!$I$5:$I$15,0),3),"Z")</f>
        <v>Z</v>
      </c>
      <c r="P11" s="51" t="str">
        <f aca="false">IFERROR(INDEX(#REF!,MATCH(AN11,#REF!,0),3),"Z")</f>
        <v>Z</v>
      </c>
      <c r="Q11" s="51" t="str">
        <f aca="false">IFERROR(INDEX(Static!$I$5:$L$15,MATCH(AF11,Static!$I$5:$I$15,0),2),"Y")</f>
        <v>Y</v>
      </c>
      <c r="R11" s="51" t="str">
        <f aca="false">IFERROR(INDEX(Static!$I$5:$L$15,MATCH(AF11,Static!$I$5:$I$15,0),4),"Y")</f>
        <v>Y</v>
      </c>
      <c r="S11" s="51" t="str">
        <f aca="false">IF(AND(AJ11&lt;&gt;"",T11="N",$A$1&gt;=AJ11-(7*$D$2)),"Y","N")</f>
        <v>N</v>
      </c>
      <c r="T11" s="51" t="str">
        <f aca="false">IF(AND(AJ11&lt;&gt;"",$A$1&gt;=AJ11),"Y","N")</f>
        <v>N</v>
      </c>
      <c r="U11" s="51" t="str">
        <f aca="false">IF(D11&gt;(($A$1-WEEKDAY($A$1,2))-7*$D$2),"Y","N")</f>
        <v>N</v>
      </c>
      <c r="V11" s="49" t="str">
        <f aca="false">IF(AR11&gt;0,"Y","N")</f>
        <v>N</v>
      </c>
      <c r="W11" s="51" t="str">
        <f aca="false">IF(AND(U11="Y",V11="N"),"Y","N")</f>
        <v>N</v>
      </c>
      <c r="X11" s="52" t="str">
        <f aca="false">IF(OR(S11="Y",AND(V11="Y",T11="Y"), $A$1=AJ11),"Y","N")</f>
        <v>N</v>
      </c>
      <c r="Y11" s="49" t="str">
        <f aca="false">IF(OR(AD11="Y",AD11="N"),AD11,IF(AND(R11="Y", OR(U11="Y",W11="Y", X11="Y")),"Y","N"))</f>
        <v>N</v>
      </c>
      <c r="Z11" s="51" t="str">
        <f aca="false">IF(OR(Q11="Y", V11="Y",X11="Y"),"Y","N")</f>
        <v>Y</v>
      </c>
      <c r="AA11" s="53" t="str">
        <f aca="false">" -  "&amp;O11&amp;AN11</f>
        <v>-  Z</v>
      </c>
      <c r="AB11" s="51" t="str">
        <f aca="false">IFERROR(VLOOKUP(WEEKDAY(AC11),Static!$AL$3:$AM$11,2,0),"")</f>
        <v/>
      </c>
      <c r="AC11" s="49" t="str">
        <f aca="false">IF(AI11&lt;&gt;"",AI11,AV11)</f>
        <v/>
      </c>
      <c r="AD11" s="54"/>
      <c r="AE11" s="54"/>
      <c r="AF11" s="55"/>
      <c r="AG11" s="56"/>
      <c r="AH11" s="58"/>
      <c r="AI11" s="54"/>
      <c r="AJ11" s="54"/>
      <c r="AK11" s="57"/>
      <c r="AL11" s="54"/>
      <c r="AM11" s="54"/>
      <c r="AN11" s="54"/>
      <c r="AO11" s="58"/>
      <c r="AP11" s="56"/>
      <c r="AQ11" s="58"/>
      <c r="AR11" s="51" t="n">
        <f aca="false">SUM(F11:I11)</f>
        <v>0</v>
      </c>
      <c r="AS11" s="59" t="n">
        <f aca="false">IF(AG11="",1,IF(K11&lt;&gt;0,(G11*0.5+J11)/K11,1))</f>
        <v>1</v>
      </c>
      <c r="AT11" s="60" t="str">
        <f aca="false">IF(AP11="","",IF(ISERROR(FIND(CHAR(10),AP11,1)),AP11,LEFT(AP11,FIND(CHAR(10),AP11,1))))</f>
        <v/>
      </c>
      <c r="AU11" s="61" t="str">
        <f aca="false">IF(AP11="","",IFERROR(RIGHT(AP11,LEN(AP11)-FIND("@@@",SUBSTITUTE(AP11,CHAR(10),"@@@",LEN(AP11)-LEN(SUBSTITUTE(AP11,CHAR(10),""))),1)),AP11))</f>
        <v/>
      </c>
      <c r="AV11" s="62" t="str">
        <f aca="false">IFERROR(DATE(("20"&amp;MID(AT11,7,2))*1,MID(AT11,4,2)*1,MID(AT11,1,2)*1),"")</f>
        <v/>
      </c>
      <c r="AW11" s="62" t="str">
        <f aca="false">IFERROR(DATE(("20"&amp;MID(AU11,7,2))*1,MID(AU11,4,2)*1,MID(AU11,1,2)*1),"")</f>
        <v/>
      </c>
      <c r="AX11" s="56" t="s">
        <v>450</v>
      </c>
    </row>
    <row r="12" customFormat="false" ht="12.75" hidden="false" customHeight="true" outlineLevel="0" collapsed="false">
      <c r="A12" s="63"/>
      <c r="B12" s="49" t="str">
        <f aca="false">IF(AL12="","tbc",AL12)</f>
        <v>tbc</v>
      </c>
      <c r="C12" s="49" t="str">
        <f aca="false">IF(AM12="","VNT",AM12)</f>
        <v>VNT</v>
      </c>
      <c r="D12" s="49" t="n">
        <f aca="false">MAX(AC12,IF(AW12="none",AC12,AW12))</f>
        <v>0</v>
      </c>
      <c r="E12" s="50" t="n">
        <f aca="false">IFERROR(DAYS360(AC12,D12),0)</f>
        <v>0</v>
      </c>
      <c r="F12" s="50" t="n">
        <f aca="false">((LEN($AQ12)-LEN(SUBSTITUTE($AQ12,CHAR(10)&amp;". ","")))/3)+IF(LEFT(TRIM($AQ12),2)=". ",1,0)</f>
        <v>0</v>
      </c>
      <c r="G12" s="50" t="n">
        <f aca="false">((LEN($AQ12)-LEN(SUBSTITUTE($AQ12,CHAR(10)&amp;"/ ","")))/3)+IF(LEFT(TRIM($AQ12),2)="/ ",1,0)</f>
        <v>0</v>
      </c>
      <c r="H12" s="50" t="n">
        <f aca="false">((LEN($AQ12)-LEN(SUBSTITUTE($AQ12,CHAR(10)&amp;"~ ","")))/3)+IF(LEFT(TRIM($AQ12),2)="~ ",1,0)</f>
        <v>0</v>
      </c>
      <c r="I12" s="50" t="n">
        <f aca="false">((LEN($AQ12)-LEN(SUBSTITUTE($AQ12,CHAR(10)&amp;"! ","")))/3)+IF(LEFT(TRIM($AQ12),2)="! ",1,0)</f>
        <v>0</v>
      </c>
      <c r="J12" s="50" t="n">
        <f aca="false">((LEN($AQ12)-LEN(SUBSTITUTE($AQ12,CHAR(10)&amp;"x ","")))/3)+IF(LEFT(TRIM($AQ12),2)="x ",1,0)</f>
        <v>0</v>
      </c>
      <c r="K12" s="50" t="n">
        <f aca="false">SUM(F12:J12)</f>
        <v>0</v>
      </c>
      <c r="L12" s="51" t="n">
        <f aca="false">YEAR(D12)</f>
        <v>1899</v>
      </c>
      <c r="M12" s="51" t="str">
        <f aca="false">VLOOKUP(MONTH(D12),Static!$AJ$3:$AK$16,2,0)</f>
        <v>Dec</v>
      </c>
      <c r="N12" s="51" t="n">
        <f aca="false">WEEKNUM(D12,1)</f>
        <v>52</v>
      </c>
      <c r="O12" s="51" t="str">
        <f aca="false">IFERROR(INDEX(Static!$I$5:$L$15,MATCH(AF12,Static!$I$5:$I$15,0),3),"Z")</f>
        <v>Z</v>
      </c>
      <c r="P12" s="51" t="str">
        <f aca="false">IFERROR(INDEX(#REF!,MATCH(AN12,#REF!,0),3),"Z")</f>
        <v>Z</v>
      </c>
      <c r="Q12" s="51" t="str">
        <f aca="false">IFERROR(INDEX(Static!$I$5:$L$15,MATCH(AF12,Static!$I$5:$I$15,0),2),"Y")</f>
        <v>Y</v>
      </c>
      <c r="R12" s="51" t="str">
        <f aca="false">IFERROR(INDEX(Static!$I$5:$L$15,MATCH(AF12,Static!$I$5:$I$15,0),4),"Y")</f>
        <v>Y</v>
      </c>
      <c r="S12" s="51" t="str">
        <f aca="false">IF(AND(AJ12&lt;&gt;"",T12="N",$A$1&gt;=AJ12-(7*$D$2)),"Y","N")</f>
        <v>N</v>
      </c>
      <c r="T12" s="51" t="str">
        <f aca="false">IF(AND(AJ12&lt;&gt;"",$A$1&gt;=AJ12),"Y","N")</f>
        <v>N</v>
      </c>
      <c r="U12" s="51" t="str">
        <f aca="false">IF(D12&gt;(($A$1-WEEKDAY($A$1,2))-7*$D$2),"Y","N")</f>
        <v>N</v>
      </c>
      <c r="V12" s="49" t="str">
        <f aca="false">IF(AR12&gt;0,"Y","N")</f>
        <v>N</v>
      </c>
      <c r="W12" s="51" t="str">
        <f aca="false">IF(AND(U12="Y",V12="N"),"Y","N")</f>
        <v>N</v>
      </c>
      <c r="X12" s="52" t="str">
        <f aca="false">IF(OR(S12="Y",AND(V12="Y",T12="Y"), $A$1=AJ12),"Y","N")</f>
        <v>N</v>
      </c>
      <c r="Y12" s="49" t="str">
        <f aca="false">IF(OR(AD12="Y",AD12="N"),AD12,IF(AND(R12="Y", OR(U12="Y",W12="Y", X12="Y")),"Y","N"))</f>
        <v>N</v>
      </c>
      <c r="Z12" s="51" t="str">
        <f aca="false">IF(OR(Q12="Y", V12="Y",X12="Y"),"Y","N")</f>
        <v>Y</v>
      </c>
      <c r="AA12" s="53" t="str">
        <f aca="false">" -  "&amp;O12&amp;AN12</f>
        <v>-  Z</v>
      </c>
      <c r="AB12" s="51" t="str">
        <f aca="false">IFERROR(VLOOKUP(WEEKDAY(AC12),Static!$AL$3:$AM$11,2,0),"")</f>
        <v/>
      </c>
      <c r="AC12" s="49" t="str">
        <f aca="false">IF(AI12&lt;&gt;"",AI12,AV12)</f>
        <v/>
      </c>
      <c r="AD12" s="54"/>
      <c r="AE12" s="54"/>
      <c r="AF12" s="55"/>
      <c r="AG12" s="56"/>
      <c r="AH12" s="58"/>
      <c r="AI12" s="54"/>
      <c r="AJ12" s="54"/>
      <c r="AK12" s="57"/>
      <c r="AL12" s="54"/>
      <c r="AM12" s="54"/>
      <c r="AN12" s="54"/>
      <c r="AO12" s="58"/>
      <c r="AP12" s="56"/>
      <c r="AQ12" s="58"/>
      <c r="AR12" s="51" t="n">
        <f aca="false">SUM(F12:I12)</f>
        <v>0</v>
      </c>
      <c r="AS12" s="59" t="n">
        <f aca="false">IF(AG12="",1,IF(K12&lt;&gt;0,(G12*0.5+J12)/K12,1))</f>
        <v>1</v>
      </c>
      <c r="AT12" s="60" t="str">
        <f aca="false">IF(AP12="","",IF(ISERROR(FIND(CHAR(10),AP12,1)),AP12,LEFT(AP12,FIND(CHAR(10),AP12,1))))</f>
        <v/>
      </c>
      <c r="AU12" s="61" t="str">
        <f aca="false">IF(AP12="","",IFERROR(RIGHT(AP12,LEN(AP12)-FIND("@@@",SUBSTITUTE(AP12,CHAR(10),"@@@",LEN(AP12)-LEN(SUBSTITUTE(AP12,CHAR(10),""))),1)),AP12))</f>
        <v/>
      </c>
      <c r="AV12" s="62" t="str">
        <f aca="false">IFERROR(DATE(("20"&amp;MID(AT12,7,2))*1,MID(AT12,4,2)*1,MID(AT12,1,2)*1),"")</f>
        <v/>
      </c>
      <c r="AW12" s="62" t="str">
        <f aca="false">IFERROR(DATE(("20"&amp;MID(AU12,7,2))*1,MID(AU12,4,2)*1,MID(AU12,1,2)*1),"")</f>
        <v/>
      </c>
      <c r="AX12" s="56" t="s">
        <v>450</v>
      </c>
    </row>
    <row r="13" customFormat="false" ht="12.75" hidden="false" customHeight="true" outlineLevel="0" collapsed="false">
      <c r="A13" s="63"/>
      <c r="B13" s="49" t="str">
        <f aca="false">IF(AL13="","tbc",AL13)</f>
        <v>tbc</v>
      </c>
      <c r="C13" s="49" t="str">
        <f aca="false">IF(AM13="","VNT",AM13)</f>
        <v>VNT</v>
      </c>
      <c r="D13" s="49" t="n">
        <f aca="false">MAX(AC13,IF(AW13="none",AC13,AW13))</f>
        <v>0</v>
      </c>
      <c r="E13" s="50" t="n">
        <f aca="false">IFERROR(DAYS360(AC13,D13),0)</f>
        <v>0</v>
      </c>
      <c r="F13" s="50" t="n">
        <f aca="false">((LEN($AQ13)-LEN(SUBSTITUTE($AQ13,CHAR(10)&amp;". ","")))/3)+IF(LEFT(TRIM($AQ13),2)=". ",1,0)</f>
        <v>0</v>
      </c>
      <c r="G13" s="50" t="n">
        <f aca="false">((LEN($AQ13)-LEN(SUBSTITUTE($AQ13,CHAR(10)&amp;"/ ","")))/3)+IF(LEFT(TRIM($AQ13),2)="/ ",1,0)</f>
        <v>0</v>
      </c>
      <c r="H13" s="50" t="n">
        <f aca="false">((LEN($AQ13)-LEN(SUBSTITUTE($AQ13,CHAR(10)&amp;"~ ","")))/3)+IF(LEFT(TRIM($AQ13),2)="~ ",1,0)</f>
        <v>0</v>
      </c>
      <c r="I13" s="50" t="n">
        <f aca="false">((LEN($AQ13)-LEN(SUBSTITUTE($AQ13,CHAR(10)&amp;"! ","")))/3)+IF(LEFT(TRIM($AQ13),2)="! ",1,0)</f>
        <v>0</v>
      </c>
      <c r="J13" s="50" t="n">
        <f aca="false">((LEN($AQ13)-LEN(SUBSTITUTE($AQ13,CHAR(10)&amp;"x ","")))/3)+IF(LEFT(TRIM($AQ13),2)="x ",1,0)</f>
        <v>0</v>
      </c>
      <c r="K13" s="50" t="n">
        <f aca="false">SUM(F13:J13)</f>
        <v>0</v>
      </c>
      <c r="L13" s="51" t="n">
        <f aca="false">YEAR(D13)</f>
        <v>1899</v>
      </c>
      <c r="M13" s="51" t="str">
        <f aca="false">VLOOKUP(MONTH(D13),Static!$AJ$3:$AK$16,2,0)</f>
        <v>Dec</v>
      </c>
      <c r="N13" s="51" t="n">
        <f aca="false">WEEKNUM(D13,1)</f>
        <v>52</v>
      </c>
      <c r="O13" s="51" t="str">
        <f aca="false">IFERROR(INDEX(Static!$I$5:$L$15,MATCH(AF13,Static!$I$5:$I$15,0),3),"Z")</f>
        <v>Z</v>
      </c>
      <c r="P13" s="51" t="str">
        <f aca="false">IFERROR(INDEX(#REF!,MATCH(AN13,#REF!,0),3),"Z")</f>
        <v>Z</v>
      </c>
      <c r="Q13" s="51" t="str">
        <f aca="false">IFERROR(INDEX(Static!$I$5:$L$15,MATCH(AF13,Static!$I$5:$I$15,0),2),"Y")</f>
        <v>Y</v>
      </c>
      <c r="R13" s="51" t="str">
        <f aca="false">IFERROR(INDEX(Static!$I$5:$L$15,MATCH(AF13,Static!$I$5:$I$15,0),4),"Y")</f>
        <v>Y</v>
      </c>
      <c r="S13" s="51" t="str">
        <f aca="false">IF(AND(AJ13&lt;&gt;"",T13="N",$A$1&gt;=AJ13-(7*$D$2)),"Y","N")</f>
        <v>N</v>
      </c>
      <c r="T13" s="51" t="str">
        <f aca="false">IF(AND(AJ13&lt;&gt;"",$A$1&gt;=AJ13),"Y","N")</f>
        <v>N</v>
      </c>
      <c r="U13" s="51" t="str">
        <f aca="false">IF(D13&gt;(($A$1-WEEKDAY($A$1,2))-7*$D$2),"Y","N")</f>
        <v>N</v>
      </c>
      <c r="V13" s="49" t="str">
        <f aca="false">IF(AR13&gt;0,"Y","N")</f>
        <v>N</v>
      </c>
      <c r="W13" s="51" t="str">
        <f aca="false">IF(AND(U13="Y",V13="N"),"Y","N")</f>
        <v>N</v>
      </c>
      <c r="X13" s="52" t="str">
        <f aca="false">IF(OR(S13="Y",AND(V13="Y",T13="Y"), $A$1=AJ13),"Y","N")</f>
        <v>N</v>
      </c>
      <c r="Y13" s="49" t="str">
        <f aca="false">IF(OR(AD13="Y",AD13="N"),AD13,IF(AND(R13="Y", OR(U13="Y",W13="Y", X13="Y")),"Y","N"))</f>
        <v>N</v>
      </c>
      <c r="Z13" s="51" t="str">
        <f aca="false">IF(OR(Q13="Y", V13="Y",X13="Y"),"Y","N")</f>
        <v>Y</v>
      </c>
      <c r="AA13" s="53" t="str">
        <f aca="false">" -  "&amp;O13&amp;AN13</f>
        <v>-  Z</v>
      </c>
      <c r="AB13" s="51" t="str">
        <f aca="false">IFERROR(VLOOKUP(WEEKDAY(AC13),Static!$AL$3:$AM$11,2,0),"")</f>
        <v/>
      </c>
      <c r="AC13" s="49" t="str">
        <f aca="false">IF(AI13&lt;&gt;"",AI13,AV13)</f>
        <v/>
      </c>
      <c r="AD13" s="54"/>
      <c r="AE13" s="54"/>
      <c r="AF13" s="55"/>
      <c r="AG13" s="56"/>
      <c r="AH13" s="58"/>
      <c r="AI13" s="54"/>
      <c r="AJ13" s="54"/>
      <c r="AK13" s="57"/>
      <c r="AL13" s="54"/>
      <c r="AM13" s="54"/>
      <c r="AN13" s="54"/>
      <c r="AO13" s="58"/>
      <c r="AP13" s="56"/>
      <c r="AQ13" s="58"/>
      <c r="AR13" s="51" t="n">
        <f aca="false">SUM(F13:I13)</f>
        <v>0</v>
      </c>
      <c r="AS13" s="59" t="n">
        <f aca="false">IF(AG13="",1,IF(K13&lt;&gt;0,(G13*0.5+J13)/K13,1))</f>
        <v>1</v>
      </c>
      <c r="AT13" s="60" t="str">
        <f aca="false">IF(AP13="","",IF(ISERROR(FIND(CHAR(10),AP13,1)),AP13,LEFT(AP13,FIND(CHAR(10),AP13,1))))</f>
        <v/>
      </c>
      <c r="AU13" s="61" t="str">
        <f aca="false">IF(AP13="","",IFERROR(RIGHT(AP13,LEN(AP13)-FIND("@@@",SUBSTITUTE(AP13,CHAR(10),"@@@",LEN(AP13)-LEN(SUBSTITUTE(AP13,CHAR(10),""))),1)),AP13))</f>
        <v/>
      </c>
      <c r="AV13" s="62" t="str">
        <f aca="false">IFERROR(DATE(("20"&amp;MID(AT13,7,2))*1,MID(AT13,4,2)*1,MID(AT13,1,2)*1),"")</f>
        <v/>
      </c>
      <c r="AW13" s="62" t="str">
        <f aca="false">IFERROR(DATE(("20"&amp;MID(AU13,7,2))*1,MID(AU13,4,2)*1,MID(AU13,1,2)*1),"")</f>
        <v/>
      </c>
      <c r="AX13" s="56" t="s">
        <v>450</v>
      </c>
    </row>
    <row r="14" customFormat="false" ht="12.75" hidden="false" customHeight="true" outlineLevel="0" collapsed="false">
      <c r="A14" s="63"/>
      <c r="B14" s="49" t="str">
        <f aca="false">IF(AL14="","tbc",AL14)</f>
        <v>tbc</v>
      </c>
      <c r="C14" s="49" t="str">
        <f aca="false">IF(AM14="","VNT",AM14)</f>
        <v>VNT</v>
      </c>
      <c r="D14" s="49" t="n">
        <f aca="false">MAX(AC14,IF(AW14="none",AC14,AW14))</f>
        <v>0</v>
      </c>
      <c r="E14" s="50" t="n">
        <f aca="false">IFERROR(DAYS360(AC14,D14),0)</f>
        <v>0</v>
      </c>
      <c r="F14" s="50" t="n">
        <f aca="false">((LEN($AQ14)-LEN(SUBSTITUTE($AQ14,CHAR(10)&amp;". ","")))/3)+IF(LEFT(TRIM($AQ14),2)=". ",1,0)</f>
        <v>0</v>
      </c>
      <c r="G14" s="50" t="n">
        <f aca="false">((LEN($AQ14)-LEN(SUBSTITUTE($AQ14,CHAR(10)&amp;"/ ","")))/3)+IF(LEFT(TRIM($AQ14),2)="/ ",1,0)</f>
        <v>0</v>
      </c>
      <c r="H14" s="50" t="n">
        <f aca="false">((LEN($AQ14)-LEN(SUBSTITUTE($AQ14,CHAR(10)&amp;"~ ","")))/3)+IF(LEFT(TRIM($AQ14),2)="~ ",1,0)</f>
        <v>0</v>
      </c>
      <c r="I14" s="50" t="n">
        <f aca="false">((LEN($AQ14)-LEN(SUBSTITUTE($AQ14,CHAR(10)&amp;"! ","")))/3)+IF(LEFT(TRIM($AQ14),2)="! ",1,0)</f>
        <v>0</v>
      </c>
      <c r="J14" s="50" t="n">
        <f aca="false">((LEN($AQ14)-LEN(SUBSTITUTE($AQ14,CHAR(10)&amp;"x ","")))/3)+IF(LEFT(TRIM($AQ14),2)="x ",1,0)</f>
        <v>0</v>
      </c>
      <c r="K14" s="50" t="n">
        <f aca="false">SUM(F14:J14)</f>
        <v>0</v>
      </c>
      <c r="L14" s="51" t="n">
        <f aca="false">YEAR(D14)</f>
        <v>1899</v>
      </c>
      <c r="M14" s="51" t="str">
        <f aca="false">VLOOKUP(MONTH(D14),Static!$AJ$3:$AK$16,2,0)</f>
        <v>Dec</v>
      </c>
      <c r="N14" s="51" t="n">
        <f aca="false">WEEKNUM(D14,1)</f>
        <v>52</v>
      </c>
      <c r="O14" s="51" t="str">
        <f aca="false">IFERROR(INDEX(Static!$I$5:$L$15,MATCH(AF14,Static!$I$5:$I$15,0),3),"Z")</f>
        <v>Z</v>
      </c>
      <c r="P14" s="51" t="str">
        <f aca="false">IFERROR(INDEX(#REF!,MATCH(AN14,#REF!,0),3),"Z")</f>
        <v>Z</v>
      </c>
      <c r="Q14" s="51" t="str">
        <f aca="false">IFERROR(INDEX(Static!$I$5:$L$15,MATCH(AF14,Static!$I$5:$I$15,0),2),"Y")</f>
        <v>Y</v>
      </c>
      <c r="R14" s="51" t="str">
        <f aca="false">IFERROR(INDEX(Static!$I$5:$L$15,MATCH(AF14,Static!$I$5:$I$15,0),4),"Y")</f>
        <v>Y</v>
      </c>
      <c r="S14" s="51" t="str">
        <f aca="false">IF(AND(AJ14&lt;&gt;"",T14="N",$A$1&gt;=AJ14-(7*$D$2)),"Y","N")</f>
        <v>N</v>
      </c>
      <c r="T14" s="51" t="str">
        <f aca="false">IF(AND(AJ14&lt;&gt;"",$A$1&gt;=AJ14),"Y","N")</f>
        <v>N</v>
      </c>
      <c r="U14" s="51" t="str">
        <f aca="false">IF(D14&gt;(($A$1-WEEKDAY($A$1,2))-7*$D$2),"Y","N")</f>
        <v>N</v>
      </c>
      <c r="V14" s="49" t="str">
        <f aca="false">IF(AR14&gt;0,"Y","N")</f>
        <v>N</v>
      </c>
      <c r="W14" s="51" t="str">
        <f aca="false">IF(AND(U14="Y",V14="N"),"Y","N")</f>
        <v>N</v>
      </c>
      <c r="X14" s="52" t="str">
        <f aca="false">IF(OR(S14="Y",AND(V14="Y",T14="Y"), $A$1=AJ14),"Y","N")</f>
        <v>N</v>
      </c>
      <c r="Y14" s="49" t="str">
        <f aca="false">IF(OR(AD14="Y",AD14="N"),AD14,IF(AND(R14="Y", OR(U14="Y",W14="Y", X14="Y")),"Y","N"))</f>
        <v>N</v>
      </c>
      <c r="Z14" s="51" t="str">
        <f aca="false">IF(OR(Q14="Y", V14="Y",X14="Y"),"Y","N")</f>
        <v>Y</v>
      </c>
      <c r="AA14" s="53" t="str">
        <f aca="false">" -  "&amp;O14&amp;AN14</f>
        <v>-  Z</v>
      </c>
      <c r="AB14" s="51" t="str">
        <f aca="false">IFERROR(VLOOKUP(WEEKDAY(AC14),Static!$AL$3:$AM$11,2,0),"")</f>
        <v/>
      </c>
      <c r="AC14" s="49" t="str">
        <f aca="false">IF(AI14&lt;&gt;"",AI14,AV14)</f>
        <v/>
      </c>
      <c r="AD14" s="54"/>
      <c r="AE14" s="54"/>
      <c r="AF14" s="55"/>
      <c r="AG14" s="56"/>
      <c r="AH14" s="58"/>
      <c r="AI14" s="54"/>
      <c r="AJ14" s="54"/>
      <c r="AK14" s="57"/>
      <c r="AL14" s="54"/>
      <c r="AM14" s="54"/>
      <c r="AN14" s="54"/>
      <c r="AO14" s="58"/>
      <c r="AP14" s="56"/>
      <c r="AQ14" s="58"/>
      <c r="AR14" s="51" t="n">
        <f aca="false">SUM(F14:I14)</f>
        <v>0</v>
      </c>
      <c r="AS14" s="59" t="n">
        <f aca="false">IF(AG14="",1,IF(K14&lt;&gt;0,(G14*0.5+J14)/K14,1))</f>
        <v>1</v>
      </c>
      <c r="AT14" s="60" t="str">
        <f aca="false">IF(AP14="","",IF(ISERROR(FIND(CHAR(10),AP14,1)),AP14,LEFT(AP14,FIND(CHAR(10),AP14,1))))</f>
        <v/>
      </c>
      <c r="AU14" s="61" t="str">
        <f aca="false">IF(AP14="","",IFERROR(RIGHT(AP14,LEN(AP14)-FIND("@@@",SUBSTITUTE(AP14,CHAR(10),"@@@",LEN(AP14)-LEN(SUBSTITUTE(AP14,CHAR(10),""))),1)),AP14))</f>
        <v/>
      </c>
      <c r="AV14" s="62" t="str">
        <f aca="false">IFERROR(DATE(("20"&amp;MID(AT14,7,2))*1,MID(AT14,4,2)*1,MID(AT14,1,2)*1),"")</f>
        <v/>
      </c>
      <c r="AW14" s="62" t="str">
        <f aca="false">IFERROR(DATE(("20"&amp;MID(AU14,7,2))*1,MID(AU14,4,2)*1,MID(AU14,1,2)*1),"")</f>
        <v/>
      </c>
      <c r="AX14" s="56" t="s">
        <v>450</v>
      </c>
    </row>
    <row r="15" customFormat="false" ht="12.75" hidden="false" customHeight="true" outlineLevel="0" collapsed="false">
      <c r="A15" s="63"/>
      <c r="B15" s="49" t="str">
        <f aca="false">IF(AL15="","tbc",AL15)</f>
        <v>tbc</v>
      </c>
      <c r="C15" s="49" t="str">
        <f aca="false">IF(AM15="","VNT",AM15)</f>
        <v>VNT</v>
      </c>
      <c r="D15" s="49" t="n">
        <f aca="false">MAX(AC15,IF(AW15="none",AC15,AW15))</f>
        <v>0</v>
      </c>
      <c r="E15" s="50" t="n">
        <f aca="false">IFERROR(DAYS360(AC15,D15),0)</f>
        <v>0</v>
      </c>
      <c r="F15" s="50" t="n">
        <f aca="false">((LEN($AQ15)-LEN(SUBSTITUTE($AQ15,CHAR(10)&amp;". ","")))/3)+IF(LEFT(TRIM($AQ15),2)=". ",1,0)</f>
        <v>0</v>
      </c>
      <c r="G15" s="50" t="n">
        <f aca="false">((LEN($AQ15)-LEN(SUBSTITUTE($AQ15,CHAR(10)&amp;"/ ","")))/3)+IF(LEFT(TRIM($AQ15),2)="/ ",1,0)</f>
        <v>0</v>
      </c>
      <c r="H15" s="50" t="n">
        <f aca="false">((LEN($AQ15)-LEN(SUBSTITUTE($AQ15,CHAR(10)&amp;"~ ","")))/3)+IF(LEFT(TRIM($AQ15),2)="~ ",1,0)</f>
        <v>0</v>
      </c>
      <c r="I15" s="50" t="n">
        <f aca="false">((LEN($AQ15)-LEN(SUBSTITUTE($AQ15,CHAR(10)&amp;"! ","")))/3)+IF(LEFT(TRIM($AQ15),2)="! ",1,0)</f>
        <v>0</v>
      </c>
      <c r="J15" s="50" t="n">
        <f aca="false">((LEN($AQ15)-LEN(SUBSTITUTE($AQ15,CHAR(10)&amp;"x ","")))/3)+IF(LEFT(TRIM($AQ15),2)="x ",1,0)</f>
        <v>0</v>
      </c>
      <c r="K15" s="50" t="n">
        <f aca="false">SUM(F15:J15)</f>
        <v>0</v>
      </c>
      <c r="L15" s="51" t="n">
        <f aca="false">YEAR(D15)</f>
        <v>1899</v>
      </c>
      <c r="M15" s="51" t="str">
        <f aca="false">VLOOKUP(MONTH(D15),Static!$AJ$3:$AK$16,2,0)</f>
        <v>Dec</v>
      </c>
      <c r="N15" s="51" t="n">
        <f aca="false">WEEKNUM(D15,1)</f>
        <v>52</v>
      </c>
      <c r="O15" s="51" t="str">
        <f aca="false">IFERROR(INDEX(Static!$I$5:$L$15,MATCH(AF15,Static!$I$5:$I$15,0),3),"Z")</f>
        <v>Z</v>
      </c>
      <c r="P15" s="51" t="str">
        <f aca="false">IFERROR(INDEX(#REF!,MATCH(AN15,#REF!,0),3),"Z")</f>
        <v>Z</v>
      </c>
      <c r="Q15" s="51" t="str">
        <f aca="false">IFERROR(INDEX(Static!$I$5:$L$15,MATCH(AF15,Static!$I$5:$I$15,0),2),"Y")</f>
        <v>Y</v>
      </c>
      <c r="R15" s="51" t="str">
        <f aca="false">IFERROR(INDEX(Static!$I$5:$L$15,MATCH(AF15,Static!$I$5:$I$15,0),4),"Y")</f>
        <v>Y</v>
      </c>
      <c r="S15" s="51" t="str">
        <f aca="false">IF(AND(AJ15&lt;&gt;"",T15="N",$A$1&gt;=AJ15-(7*$D$2)),"Y","N")</f>
        <v>N</v>
      </c>
      <c r="T15" s="51" t="str">
        <f aca="false">IF(AND(AJ15&lt;&gt;"",$A$1&gt;=AJ15),"Y","N")</f>
        <v>N</v>
      </c>
      <c r="U15" s="51" t="str">
        <f aca="false">IF(D15&gt;(($A$1-WEEKDAY($A$1,2))-7*$D$2),"Y","N")</f>
        <v>N</v>
      </c>
      <c r="V15" s="49" t="str">
        <f aca="false">IF(AR15&gt;0,"Y","N")</f>
        <v>N</v>
      </c>
      <c r="W15" s="51" t="str">
        <f aca="false">IF(AND(U15="Y",V15="N"),"Y","N")</f>
        <v>N</v>
      </c>
      <c r="X15" s="52" t="str">
        <f aca="false">IF(OR(S15="Y",AND(V15="Y",T15="Y"), $A$1=AJ15),"Y","N")</f>
        <v>N</v>
      </c>
      <c r="Y15" s="49" t="str">
        <f aca="false">IF(OR(AD15="Y",AD15="N"),AD15,IF(AND(R15="Y", OR(U15="Y",W15="Y", X15="Y")),"Y","N"))</f>
        <v>N</v>
      </c>
      <c r="Z15" s="51" t="str">
        <f aca="false">IF(OR(Q15="Y", V15="Y",X15="Y"),"Y","N")</f>
        <v>Y</v>
      </c>
      <c r="AA15" s="53" t="str">
        <f aca="false">" -  "&amp;O15&amp;AN15</f>
        <v>-  Z</v>
      </c>
      <c r="AB15" s="51" t="str">
        <f aca="false">IFERROR(VLOOKUP(WEEKDAY(AC15),Static!$AL$3:$AM$11,2,0),"")</f>
        <v/>
      </c>
      <c r="AC15" s="49" t="str">
        <f aca="false">IF(AI15&lt;&gt;"",AI15,AV15)</f>
        <v/>
      </c>
      <c r="AD15" s="54"/>
      <c r="AE15" s="54"/>
      <c r="AF15" s="55"/>
      <c r="AG15" s="56"/>
      <c r="AH15" s="58"/>
      <c r="AI15" s="54"/>
      <c r="AJ15" s="54"/>
      <c r="AK15" s="57"/>
      <c r="AL15" s="54"/>
      <c r="AM15" s="54"/>
      <c r="AN15" s="54"/>
      <c r="AO15" s="58"/>
      <c r="AP15" s="56"/>
      <c r="AQ15" s="58"/>
      <c r="AR15" s="51" t="n">
        <f aca="false">SUM(F15:I15)</f>
        <v>0</v>
      </c>
      <c r="AS15" s="59" t="n">
        <f aca="false">IF(AG15="",1,IF(K15&lt;&gt;0,(G15*0.5+J15)/K15,1))</f>
        <v>1</v>
      </c>
      <c r="AT15" s="60" t="str">
        <f aca="false">IF(AP15="","",IF(ISERROR(FIND(CHAR(10),AP15,1)),AP15,LEFT(AP15,FIND(CHAR(10),AP15,1))))</f>
        <v/>
      </c>
      <c r="AU15" s="61" t="str">
        <f aca="false">IF(AP15="","",IFERROR(RIGHT(AP15,LEN(AP15)-FIND("@@@",SUBSTITUTE(AP15,CHAR(10),"@@@",LEN(AP15)-LEN(SUBSTITUTE(AP15,CHAR(10),""))),1)),AP15))</f>
        <v/>
      </c>
      <c r="AV15" s="62" t="str">
        <f aca="false">IFERROR(DATE(("20"&amp;MID(AT15,7,2))*1,MID(AT15,4,2)*1,MID(AT15,1,2)*1),"")</f>
        <v/>
      </c>
      <c r="AW15" s="62" t="str">
        <f aca="false">IFERROR(DATE(("20"&amp;MID(AU15,7,2))*1,MID(AU15,4,2)*1,MID(AU15,1,2)*1),"")</f>
        <v/>
      </c>
      <c r="AX15" s="56" t="s">
        <v>450</v>
      </c>
    </row>
    <row r="16" customFormat="false" ht="12.75" hidden="false" customHeight="true" outlineLevel="0" collapsed="false">
      <c r="A16" s="63"/>
      <c r="B16" s="49" t="str">
        <f aca="false">IF(AL16="","tbc",AL16)</f>
        <v>tbc</v>
      </c>
      <c r="C16" s="49" t="str">
        <f aca="false">IF(AM16="","VNT",AM16)</f>
        <v>VNT</v>
      </c>
      <c r="D16" s="49" t="n">
        <f aca="false">MAX(AC16,IF(AW16="none",AC16,AW16))</f>
        <v>0</v>
      </c>
      <c r="E16" s="50" t="n">
        <f aca="false">IFERROR(DAYS360(AC16,D16),0)</f>
        <v>0</v>
      </c>
      <c r="F16" s="50" t="n">
        <f aca="false">((LEN($AQ16)-LEN(SUBSTITUTE($AQ16,CHAR(10)&amp;". ","")))/3)+IF(LEFT(TRIM($AQ16),2)=". ",1,0)</f>
        <v>0</v>
      </c>
      <c r="G16" s="50" t="n">
        <f aca="false">((LEN($AQ16)-LEN(SUBSTITUTE($AQ16,CHAR(10)&amp;"/ ","")))/3)+IF(LEFT(TRIM($AQ16),2)="/ ",1,0)</f>
        <v>0</v>
      </c>
      <c r="H16" s="50" t="n">
        <f aca="false">((LEN($AQ16)-LEN(SUBSTITUTE($AQ16,CHAR(10)&amp;"~ ","")))/3)+IF(LEFT(TRIM($AQ16),2)="~ ",1,0)</f>
        <v>0</v>
      </c>
      <c r="I16" s="50" t="n">
        <f aca="false">((LEN($AQ16)-LEN(SUBSTITUTE($AQ16,CHAR(10)&amp;"! ","")))/3)+IF(LEFT(TRIM($AQ16),2)="! ",1,0)</f>
        <v>0</v>
      </c>
      <c r="J16" s="50" t="n">
        <f aca="false">((LEN($AQ16)-LEN(SUBSTITUTE($AQ16,CHAR(10)&amp;"x ","")))/3)+IF(LEFT(TRIM($AQ16),2)="x ",1,0)</f>
        <v>0</v>
      </c>
      <c r="K16" s="50" t="n">
        <f aca="false">SUM(F16:J16)</f>
        <v>0</v>
      </c>
      <c r="L16" s="51" t="n">
        <f aca="false">YEAR(D16)</f>
        <v>1899</v>
      </c>
      <c r="M16" s="51" t="str">
        <f aca="false">VLOOKUP(MONTH(D16),Static!$AJ$3:$AK$16,2,0)</f>
        <v>Dec</v>
      </c>
      <c r="N16" s="51" t="n">
        <f aca="false">WEEKNUM(D16,1)</f>
        <v>52</v>
      </c>
      <c r="O16" s="51" t="str">
        <f aca="false">IFERROR(INDEX(Static!$I$5:$L$15,MATCH(AF16,Static!$I$5:$I$15,0),3),"Z")</f>
        <v>Z</v>
      </c>
      <c r="P16" s="51" t="str">
        <f aca="false">IFERROR(INDEX(#REF!,MATCH(AN16,#REF!,0),3),"Z")</f>
        <v>Z</v>
      </c>
      <c r="Q16" s="51" t="str">
        <f aca="false">IFERROR(INDEX(Static!$I$5:$L$15,MATCH(AF16,Static!$I$5:$I$15,0),2),"Y")</f>
        <v>Y</v>
      </c>
      <c r="R16" s="51" t="str">
        <f aca="false">IFERROR(INDEX(Static!$I$5:$L$15,MATCH(AF16,Static!$I$5:$I$15,0),4),"Y")</f>
        <v>Y</v>
      </c>
      <c r="S16" s="51" t="str">
        <f aca="false">IF(AND(AJ16&lt;&gt;"",T16="N",$A$1&gt;=AJ16-(7*$D$2)),"Y","N")</f>
        <v>N</v>
      </c>
      <c r="T16" s="51" t="str">
        <f aca="false">IF(AND(AJ16&lt;&gt;"",$A$1&gt;=AJ16),"Y","N")</f>
        <v>N</v>
      </c>
      <c r="U16" s="51" t="str">
        <f aca="false">IF(D16&gt;(($A$1-WEEKDAY($A$1,2))-7*$D$2),"Y","N")</f>
        <v>N</v>
      </c>
      <c r="V16" s="49" t="str">
        <f aca="false">IF(AR16&gt;0,"Y","N")</f>
        <v>N</v>
      </c>
      <c r="W16" s="51" t="str">
        <f aca="false">IF(AND(U16="Y",V16="N"),"Y","N")</f>
        <v>N</v>
      </c>
      <c r="X16" s="52" t="str">
        <f aca="false">IF(OR(S16="Y",AND(V16="Y",T16="Y"), $A$1=AJ16),"Y","N")</f>
        <v>N</v>
      </c>
      <c r="Y16" s="49" t="str">
        <f aca="false">IF(OR(AD16="Y",AD16="N"),AD16,IF(AND(R16="Y", OR(U16="Y",W16="Y", X16="Y")),"Y","N"))</f>
        <v>N</v>
      </c>
      <c r="Z16" s="51" t="str">
        <f aca="false">IF(OR(Q16="Y", V16="Y",X16="Y"),"Y","N")</f>
        <v>Y</v>
      </c>
      <c r="AA16" s="53" t="str">
        <f aca="false">" -  "&amp;O16&amp;AN16</f>
        <v>-  Z</v>
      </c>
      <c r="AB16" s="51" t="str">
        <f aca="false">IFERROR(VLOOKUP(WEEKDAY(AC16),Static!$AL$3:$AM$11,2,0),"")</f>
        <v/>
      </c>
      <c r="AC16" s="49" t="str">
        <f aca="false">IF(AI16&lt;&gt;"",AI16,AV16)</f>
        <v/>
      </c>
      <c r="AD16" s="54"/>
      <c r="AE16" s="54"/>
      <c r="AF16" s="55"/>
      <c r="AG16" s="56"/>
      <c r="AH16" s="58"/>
      <c r="AI16" s="54"/>
      <c r="AJ16" s="54"/>
      <c r="AK16" s="57"/>
      <c r="AL16" s="54"/>
      <c r="AM16" s="54"/>
      <c r="AN16" s="54"/>
      <c r="AO16" s="58"/>
      <c r="AP16" s="56"/>
      <c r="AQ16" s="58"/>
      <c r="AR16" s="51" t="n">
        <f aca="false">SUM(F16:I16)</f>
        <v>0</v>
      </c>
      <c r="AS16" s="59" t="n">
        <f aca="false">IF(AG16="",1,IF(K16&lt;&gt;0,(G16*0.5+J16)/K16,1))</f>
        <v>1</v>
      </c>
      <c r="AT16" s="60" t="str">
        <f aca="false">IF(AP16="","",IF(ISERROR(FIND(CHAR(10),AP16,1)),AP16,LEFT(AP16,FIND(CHAR(10),AP16,1))))</f>
        <v/>
      </c>
      <c r="AU16" s="61" t="str">
        <f aca="false">IF(AP16="","",IFERROR(RIGHT(AP16,LEN(AP16)-FIND("@@@",SUBSTITUTE(AP16,CHAR(10),"@@@",LEN(AP16)-LEN(SUBSTITUTE(AP16,CHAR(10),""))),1)),AP16))</f>
        <v/>
      </c>
      <c r="AV16" s="62" t="str">
        <f aca="false">IFERROR(DATE(("20"&amp;MID(AT16,7,2))*1,MID(AT16,4,2)*1,MID(AT16,1,2)*1),"")</f>
        <v/>
      </c>
      <c r="AW16" s="62" t="str">
        <f aca="false">IFERROR(DATE(("20"&amp;MID(AU16,7,2))*1,MID(AU16,4,2)*1,MID(AU16,1,2)*1),"")</f>
        <v/>
      </c>
      <c r="AX16" s="56" t="s">
        <v>450</v>
      </c>
    </row>
    <row r="17" customFormat="false" ht="12.75" hidden="false" customHeight="true" outlineLevel="0" collapsed="false">
      <c r="A17" s="63"/>
      <c r="B17" s="49" t="str">
        <f aca="false">IF(AL17="","tbc",AL17)</f>
        <v>tbc</v>
      </c>
      <c r="C17" s="49" t="str">
        <f aca="false">IF(AM17="","VNT",AM17)</f>
        <v>VNT</v>
      </c>
      <c r="D17" s="49" t="n">
        <f aca="false">MAX(AC17,IF(AW17="none",AC17,AW17))</f>
        <v>0</v>
      </c>
      <c r="E17" s="50" t="n">
        <f aca="false">IFERROR(DAYS360(AC17,D17),0)</f>
        <v>0</v>
      </c>
      <c r="F17" s="50" t="n">
        <f aca="false">((LEN($AQ17)-LEN(SUBSTITUTE($AQ17,CHAR(10)&amp;". ","")))/3)+IF(LEFT(TRIM($AQ17),2)=". ",1,0)</f>
        <v>0</v>
      </c>
      <c r="G17" s="50" t="n">
        <f aca="false">((LEN($AQ17)-LEN(SUBSTITUTE($AQ17,CHAR(10)&amp;"/ ","")))/3)+IF(LEFT(TRIM($AQ17),2)="/ ",1,0)</f>
        <v>0</v>
      </c>
      <c r="H17" s="50" t="n">
        <f aca="false">((LEN($AQ17)-LEN(SUBSTITUTE($AQ17,CHAR(10)&amp;"~ ","")))/3)+IF(LEFT(TRIM($AQ17),2)="~ ",1,0)</f>
        <v>0</v>
      </c>
      <c r="I17" s="50" t="n">
        <f aca="false">((LEN($AQ17)-LEN(SUBSTITUTE($AQ17,CHAR(10)&amp;"! ","")))/3)+IF(LEFT(TRIM($AQ17),2)="! ",1,0)</f>
        <v>0</v>
      </c>
      <c r="J17" s="50" t="n">
        <f aca="false">((LEN($AQ17)-LEN(SUBSTITUTE($AQ17,CHAR(10)&amp;"x ","")))/3)+IF(LEFT(TRIM($AQ17),2)="x ",1,0)</f>
        <v>0</v>
      </c>
      <c r="K17" s="50" t="n">
        <f aca="false">SUM(F17:J17)</f>
        <v>0</v>
      </c>
      <c r="L17" s="51" t="n">
        <f aca="false">YEAR(D17)</f>
        <v>1899</v>
      </c>
      <c r="M17" s="51" t="str">
        <f aca="false">VLOOKUP(MONTH(D17),Static!$AJ$3:$AK$16,2,0)</f>
        <v>Dec</v>
      </c>
      <c r="N17" s="51" t="n">
        <f aca="false">WEEKNUM(D17,1)</f>
        <v>52</v>
      </c>
      <c r="O17" s="51" t="str">
        <f aca="false">IFERROR(INDEX(Static!$I$5:$L$15,MATCH(AF17,Static!$I$5:$I$15,0),3),"Z")</f>
        <v>Z</v>
      </c>
      <c r="P17" s="51" t="str">
        <f aca="false">IFERROR(INDEX(#REF!,MATCH(AN17,#REF!,0),3),"Z")</f>
        <v>Z</v>
      </c>
      <c r="Q17" s="51" t="str">
        <f aca="false">IFERROR(INDEX(Static!$I$5:$L$15,MATCH(AF17,Static!$I$5:$I$15,0),2),"Y")</f>
        <v>Y</v>
      </c>
      <c r="R17" s="51" t="str">
        <f aca="false">IFERROR(INDEX(Static!$I$5:$L$15,MATCH(AF17,Static!$I$5:$I$15,0),4),"Y")</f>
        <v>Y</v>
      </c>
      <c r="S17" s="51" t="str">
        <f aca="false">IF(AND(AJ17&lt;&gt;"",T17="N",$A$1&gt;=AJ17-(7*$D$2)),"Y","N")</f>
        <v>N</v>
      </c>
      <c r="T17" s="51" t="str">
        <f aca="false">IF(AND(AJ17&lt;&gt;"",$A$1&gt;=AJ17),"Y","N")</f>
        <v>N</v>
      </c>
      <c r="U17" s="51" t="str">
        <f aca="false">IF(D17&gt;(($A$1-WEEKDAY($A$1,2))-7*$D$2),"Y","N")</f>
        <v>N</v>
      </c>
      <c r="V17" s="49" t="str">
        <f aca="false">IF(AR17&gt;0,"Y","N")</f>
        <v>N</v>
      </c>
      <c r="W17" s="51" t="str">
        <f aca="false">IF(AND(U17="Y",V17="N"),"Y","N")</f>
        <v>N</v>
      </c>
      <c r="X17" s="52" t="str">
        <f aca="false">IF(OR(S17="Y",AND(V17="Y",T17="Y"), $A$1=AJ17),"Y","N")</f>
        <v>N</v>
      </c>
      <c r="Y17" s="49" t="str">
        <f aca="false">IF(OR(AD17="Y",AD17="N"),AD17,IF(AND(R17="Y", OR(U17="Y",W17="Y", X17="Y")),"Y","N"))</f>
        <v>N</v>
      </c>
      <c r="Z17" s="51" t="str">
        <f aca="false">IF(OR(Q17="Y", V17="Y",X17="Y"),"Y","N")</f>
        <v>Y</v>
      </c>
      <c r="AA17" s="53" t="str">
        <f aca="false">" -  "&amp;O17&amp;AN17</f>
        <v>-  Z</v>
      </c>
      <c r="AB17" s="51" t="str">
        <f aca="false">IFERROR(VLOOKUP(WEEKDAY(AC17),Static!$AL$3:$AM$11,2,0),"")</f>
        <v/>
      </c>
      <c r="AC17" s="49" t="str">
        <f aca="false">IF(AI17&lt;&gt;"",AI17,AV17)</f>
        <v/>
      </c>
      <c r="AD17" s="54"/>
      <c r="AE17" s="54"/>
      <c r="AF17" s="55"/>
      <c r="AG17" s="56"/>
      <c r="AH17" s="58"/>
      <c r="AI17" s="54"/>
      <c r="AJ17" s="54"/>
      <c r="AK17" s="57"/>
      <c r="AL17" s="54"/>
      <c r="AM17" s="54"/>
      <c r="AN17" s="54"/>
      <c r="AO17" s="58"/>
      <c r="AP17" s="56"/>
      <c r="AQ17" s="58"/>
      <c r="AR17" s="51" t="n">
        <f aca="false">SUM(F17:I17)</f>
        <v>0</v>
      </c>
      <c r="AS17" s="59" t="n">
        <f aca="false">IF(AG17="",1,IF(K17&lt;&gt;0,(G17*0.5+J17)/K17,1))</f>
        <v>1</v>
      </c>
      <c r="AT17" s="60" t="str">
        <f aca="false">IF(AP17="","",IF(ISERROR(FIND(CHAR(10),AP17,1)),AP17,LEFT(AP17,FIND(CHAR(10),AP17,1))))</f>
        <v/>
      </c>
      <c r="AU17" s="61" t="str">
        <f aca="false">IF(AP17="","",IFERROR(RIGHT(AP17,LEN(AP17)-FIND("@@@",SUBSTITUTE(AP17,CHAR(10),"@@@",LEN(AP17)-LEN(SUBSTITUTE(AP17,CHAR(10),""))),1)),AP17))</f>
        <v/>
      </c>
      <c r="AV17" s="62" t="str">
        <f aca="false">IFERROR(DATE(("20"&amp;MID(AT17,7,2))*1,MID(AT17,4,2)*1,MID(AT17,1,2)*1),"")</f>
        <v/>
      </c>
      <c r="AW17" s="62" t="str">
        <f aca="false">IFERROR(DATE(("20"&amp;MID(AU17,7,2))*1,MID(AU17,4,2)*1,MID(AU17,1,2)*1),"")</f>
        <v/>
      </c>
      <c r="AX17" s="56" t="s">
        <v>450</v>
      </c>
    </row>
    <row r="18" customFormat="false" ht="12.75" hidden="false" customHeight="true" outlineLevel="0" collapsed="false">
      <c r="A18" s="63"/>
      <c r="B18" s="49" t="str">
        <f aca="false">IF(AL18="","tbc",AL18)</f>
        <v>tbc</v>
      </c>
      <c r="C18" s="49" t="str">
        <f aca="false">IF(AM18="","VNT",AM18)</f>
        <v>VNT</v>
      </c>
      <c r="D18" s="49" t="n">
        <f aca="false">MAX(AC18,IF(AW18="none",AC18,AW18))</f>
        <v>0</v>
      </c>
      <c r="E18" s="50" t="n">
        <f aca="false">IFERROR(DAYS360(AC18,D18),0)</f>
        <v>0</v>
      </c>
      <c r="F18" s="50" t="n">
        <f aca="false">((LEN($AQ18)-LEN(SUBSTITUTE($AQ18,CHAR(10)&amp;". ","")))/3)+IF(LEFT(TRIM($AQ18),2)=". ",1,0)</f>
        <v>0</v>
      </c>
      <c r="G18" s="50" t="n">
        <f aca="false">((LEN($AQ18)-LEN(SUBSTITUTE($AQ18,CHAR(10)&amp;"/ ","")))/3)+IF(LEFT(TRIM($AQ18),2)="/ ",1,0)</f>
        <v>0</v>
      </c>
      <c r="H18" s="50" t="n">
        <f aca="false">((LEN($AQ18)-LEN(SUBSTITUTE($AQ18,CHAR(10)&amp;"~ ","")))/3)+IF(LEFT(TRIM($AQ18),2)="~ ",1,0)</f>
        <v>0</v>
      </c>
      <c r="I18" s="50" t="n">
        <f aca="false">((LEN($AQ18)-LEN(SUBSTITUTE($AQ18,CHAR(10)&amp;"! ","")))/3)+IF(LEFT(TRIM($AQ18),2)="! ",1,0)</f>
        <v>0</v>
      </c>
      <c r="J18" s="50" t="n">
        <f aca="false">((LEN($AQ18)-LEN(SUBSTITUTE($AQ18,CHAR(10)&amp;"x ","")))/3)+IF(LEFT(TRIM($AQ18),2)="x ",1,0)</f>
        <v>0</v>
      </c>
      <c r="K18" s="50" t="n">
        <f aca="false">SUM(F18:J18)</f>
        <v>0</v>
      </c>
      <c r="L18" s="51" t="n">
        <f aca="false">YEAR(D18)</f>
        <v>1899</v>
      </c>
      <c r="M18" s="51" t="str">
        <f aca="false">VLOOKUP(MONTH(D18),Static!$AJ$3:$AK$16,2,0)</f>
        <v>Dec</v>
      </c>
      <c r="N18" s="51" t="n">
        <f aca="false">WEEKNUM(D18,1)</f>
        <v>52</v>
      </c>
      <c r="O18" s="51" t="str">
        <f aca="false">IFERROR(INDEX(Static!$I$5:$L$15,MATCH(AF18,Static!$I$5:$I$15,0),3),"Z")</f>
        <v>Z</v>
      </c>
      <c r="P18" s="51" t="str">
        <f aca="false">IFERROR(INDEX(#REF!,MATCH(AN18,#REF!,0),3),"Z")</f>
        <v>Z</v>
      </c>
      <c r="Q18" s="51" t="str">
        <f aca="false">IFERROR(INDEX(Static!$I$5:$L$15,MATCH(AF18,Static!$I$5:$I$15,0),2),"Y")</f>
        <v>Y</v>
      </c>
      <c r="R18" s="51" t="str">
        <f aca="false">IFERROR(INDEX(Static!$I$5:$L$15,MATCH(AF18,Static!$I$5:$I$15,0),4),"Y")</f>
        <v>Y</v>
      </c>
      <c r="S18" s="51" t="str">
        <f aca="false">IF(AND(AJ18&lt;&gt;"",T18="N",$A$1&gt;=AJ18-(7*$D$2)),"Y","N")</f>
        <v>N</v>
      </c>
      <c r="T18" s="51" t="str">
        <f aca="false">IF(AND(AJ18&lt;&gt;"",$A$1&gt;=AJ18),"Y","N")</f>
        <v>N</v>
      </c>
      <c r="U18" s="51" t="str">
        <f aca="false">IF(D18&gt;(($A$1-WEEKDAY($A$1,2))-7*$D$2),"Y","N")</f>
        <v>N</v>
      </c>
      <c r="V18" s="49" t="str">
        <f aca="false">IF(AR18&gt;0,"Y","N")</f>
        <v>N</v>
      </c>
      <c r="W18" s="51" t="str">
        <f aca="false">IF(AND(U18="Y",V18="N"),"Y","N")</f>
        <v>N</v>
      </c>
      <c r="X18" s="52" t="str">
        <f aca="false">IF(OR(S18="Y",AND(V18="Y",T18="Y"), $A$1=AJ18),"Y","N")</f>
        <v>N</v>
      </c>
      <c r="Y18" s="49" t="str">
        <f aca="false">IF(OR(AD18="Y",AD18="N"),AD18,IF(AND(R18="Y", OR(U18="Y",W18="Y", X18="Y")),"Y","N"))</f>
        <v>N</v>
      </c>
      <c r="Z18" s="51" t="str">
        <f aca="false">IF(OR(Q18="Y", V18="Y",X18="Y"),"Y","N")</f>
        <v>Y</v>
      </c>
      <c r="AA18" s="53" t="str">
        <f aca="false">" -  "&amp;O18&amp;AN18</f>
        <v>-  Z</v>
      </c>
      <c r="AB18" s="51" t="str">
        <f aca="false">IFERROR(VLOOKUP(WEEKDAY(AC18),Static!$AL$3:$AM$11,2,0),"")</f>
        <v/>
      </c>
      <c r="AC18" s="49" t="str">
        <f aca="false">IF(AI18&lt;&gt;"",AI18,AV18)</f>
        <v/>
      </c>
      <c r="AD18" s="54"/>
      <c r="AE18" s="54"/>
      <c r="AF18" s="55"/>
      <c r="AG18" s="56"/>
      <c r="AH18" s="58"/>
      <c r="AI18" s="54"/>
      <c r="AJ18" s="54"/>
      <c r="AK18" s="57"/>
      <c r="AL18" s="54"/>
      <c r="AM18" s="54"/>
      <c r="AN18" s="54"/>
      <c r="AO18" s="58"/>
      <c r="AP18" s="56"/>
      <c r="AQ18" s="58"/>
      <c r="AR18" s="51" t="n">
        <f aca="false">SUM(F18:I18)</f>
        <v>0</v>
      </c>
      <c r="AS18" s="59" t="n">
        <f aca="false">IF(AG18="",1,IF(K18&lt;&gt;0,(G18*0.5+J18)/K18,1))</f>
        <v>1</v>
      </c>
      <c r="AT18" s="60" t="str">
        <f aca="false">IF(AP18="","",IF(ISERROR(FIND(CHAR(10),AP18,1)),AP18,LEFT(AP18,FIND(CHAR(10),AP18,1))))</f>
        <v/>
      </c>
      <c r="AU18" s="61" t="str">
        <f aca="false">IF(AP18="","",IFERROR(RIGHT(AP18,LEN(AP18)-FIND("@@@",SUBSTITUTE(AP18,CHAR(10),"@@@",LEN(AP18)-LEN(SUBSTITUTE(AP18,CHAR(10),""))),1)),AP18))</f>
        <v/>
      </c>
      <c r="AV18" s="62" t="str">
        <f aca="false">IFERROR(DATE(("20"&amp;MID(AT18,7,2))*1,MID(AT18,4,2)*1,MID(AT18,1,2)*1),"")</f>
        <v/>
      </c>
      <c r="AW18" s="62" t="str">
        <f aca="false">IFERROR(DATE(("20"&amp;MID(AU18,7,2))*1,MID(AU18,4,2)*1,MID(AU18,1,2)*1),"")</f>
        <v/>
      </c>
      <c r="AX18" s="56" t="s">
        <v>450</v>
      </c>
    </row>
    <row r="19" customFormat="false" ht="12.75" hidden="false" customHeight="true" outlineLevel="0" collapsed="false">
      <c r="A19" s="63"/>
      <c r="B19" s="49" t="str">
        <f aca="false">IF(AL19="","tbc",AL19)</f>
        <v>tbc</v>
      </c>
      <c r="C19" s="49" t="str">
        <f aca="false">IF(AM19="","VNT",AM19)</f>
        <v>VNT</v>
      </c>
      <c r="D19" s="49" t="n">
        <f aca="false">MAX(AC19,IF(AW19="none",AC19,AW19))</f>
        <v>0</v>
      </c>
      <c r="E19" s="50" t="n">
        <f aca="false">IFERROR(DAYS360(AC19,D19),0)</f>
        <v>0</v>
      </c>
      <c r="F19" s="50" t="n">
        <f aca="false">((LEN($AQ19)-LEN(SUBSTITUTE($AQ19,CHAR(10)&amp;". ","")))/3)+IF(LEFT(TRIM($AQ19),2)=". ",1,0)</f>
        <v>0</v>
      </c>
      <c r="G19" s="50" t="n">
        <f aca="false">((LEN($AQ19)-LEN(SUBSTITUTE($AQ19,CHAR(10)&amp;"/ ","")))/3)+IF(LEFT(TRIM($AQ19),2)="/ ",1,0)</f>
        <v>0</v>
      </c>
      <c r="H19" s="50" t="n">
        <f aca="false">((LEN($AQ19)-LEN(SUBSTITUTE($AQ19,CHAR(10)&amp;"~ ","")))/3)+IF(LEFT(TRIM($AQ19),2)="~ ",1,0)</f>
        <v>0</v>
      </c>
      <c r="I19" s="50" t="n">
        <f aca="false">((LEN($AQ19)-LEN(SUBSTITUTE($AQ19,CHAR(10)&amp;"! ","")))/3)+IF(LEFT(TRIM($AQ19),2)="! ",1,0)</f>
        <v>0</v>
      </c>
      <c r="J19" s="50" t="n">
        <f aca="false">((LEN($AQ19)-LEN(SUBSTITUTE($AQ19,CHAR(10)&amp;"x ","")))/3)+IF(LEFT(TRIM($AQ19),2)="x ",1,0)</f>
        <v>0</v>
      </c>
      <c r="K19" s="50" t="n">
        <f aca="false">SUM(F19:J19)</f>
        <v>0</v>
      </c>
      <c r="L19" s="51" t="n">
        <f aca="false">YEAR(D19)</f>
        <v>1899</v>
      </c>
      <c r="M19" s="51" t="str">
        <f aca="false">VLOOKUP(MONTH(D19),Static!$AJ$3:$AK$16,2,0)</f>
        <v>Dec</v>
      </c>
      <c r="N19" s="51" t="n">
        <f aca="false">WEEKNUM(D19,1)</f>
        <v>52</v>
      </c>
      <c r="O19" s="51" t="str">
        <f aca="false">IFERROR(INDEX(Static!$I$5:$L$15,MATCH(AF19,Static!$I$5:$I$15,0),3),"Z")</f>
        <v>Z</v>
      </c>
      <c r="P19" s="51" t="str">
        <f aca="false">IFERROR(INDEX(#REF!,MATCH(AN19,#REF!,0),3),"Z")</f>
        <v>Z</v>
      </c>
      <c r="Q19" s="51" t="str">
        <f aca="false">IFERROR(INDEX(Static!$I$5:$L$15,MATCH(AF19,Static!$I$5:$I$15,0),2),"Y")</f>
        <v>Y</v>
      </c>
      <c r="R19" s="51" t="str">
        <f aca="false">IFERROR(INDEX(Static!$I$5:$L$15,MATCH(AF19,Static!$I$5:$I$15,0),4),"Y")</f>
        <v>Y</v>
      </c>
      <c r="S19" s="51" t="str">
        <f aca="false">IF(AND(AJ19&lt;&gt;"",T19="N",$A$1&gt;=AJ19-(7*$D$2)),"Y","N")</f>
        <v>N</v>
      </c>
      <c r="T19" s="51" t="str">
        <f aca="false">IF(AND(AJ19&lt;&gt;"",$A$1&gt;=AJ19),"Y","N")</f>
        <v>N</v>
      </c>
      <c r="U19" s="51" t="str">
        <f aca="false">IF(D19&gt;(($A$1-WEEKDAY($A$1,2))-7*$D$2),"Y","N")</f>
        <v>N</v>
      </c>
      <c r="V19" s="49" t="str">
        <f aca="false">IF(AR19&gt;0,"Y","N")</f>
        <v>N</v>
      </c>
      <c r="W19" s="51" t="str">
        <f aca="false">IF(AND(U19="Y",V19="N"),"Y","N")</f>
        <v>N</v>
      </c>
      <c r="X19" s="52" t="str">
        <f aca="false">IF(OR(S19="Y",AND(V19="Y",T19="Y"), $A$1=AJ19),"Y","N")</f>
        <v>N</v>
      </c>
      <c r="Y19" s="49" t="str">
        <f aca="false">IF(OR(AD19="Y",AD19="N"),AD19,IF(AND(R19="Y", OR(U19="Y",W19="Y", X19="Y")),"Y","N"))</f>
        <v>N</v>
      </c>
      <c r="Z19" s="51" t="str">
        <f aca="false">IF(OR(Q19="Y", V19="Y",X19="Y"),"Y","N")</f>
        <v>Y</v>
      </c>
      <c r="AA19" s="53" t="str">
        <f aca="false">" -  "&amp;O19&amp;AN19</f>
        <v>-  Z</v>
      </c>
      <c r="AB19" s="51" t="str">
        <f aca="false">IFERROR(VLOOKUP(WEEKDAY(AC19),Static!$AL$3:$AM$11,2,0),"")</f>
        <v/>
      </c>
      <c r="AC19" s="49" t="str">
        <f aca="false">IF(AI19&lt;&gt;"",AI19,AV19)</f>
        <v/>
      </c>
      <c r="AD19" s="54"/>
      <c r="AE19" s="54"/>
      <c r="AF19" s="55"/>
      <c r="AG19" s="56"/>
      <c r="AH19" s="58"/>
      <c r="AI19" s="54"/>
      <c r="AJ19" s="54"/>
      <c r="AK19" s="57"/>
      <c r="AL19" s="54"/>
      <c r="AM19" s="54"/>
      <c r="AN19" s="54"/>
      <c r="AO19" s="58"/>
      <c r="AP19" s="56"/>
      <c r="AQ19" s="58"/>
      <c r="AR19" s="51" t="n">
        <f aca="false">SUM(F19:I19)</f>
        <v>0</v>
      </c>
      <c r="AS19" s="59" t="n">
        <f aca="false">IF(AG19="",1,IF(K19&lt;&gt;0,(G19*0.5+J19)/K19,1))</f>
        <v>1</v>
      </c>
      <c r="AT19" s="60" t="str">
        <f aca="false">IF(AP19="","",IF(ISERROR(FIND(CHAR(10),AP19,1)),AP19,LEFT(AP19,FIND(CHAR(10),AP19,1))))</f>
        <v/>
      </c>
      <c r="AU19" s="61" t="str">
        <f aca="false">IF(AP19="","",IFERROR(RIGHT(AP19,LEN(AP19)-FIND("@@@",SUBSTITUTE(AP19,CHAR(10),"@@@",LEN(AP19)-LEN(SUBSTITUTE(AP19,CHAR(10),""))),1)),AP19))</f>
        <v/>
      </c>
      <c r="AV19" s="62" t="str">
        <f aca="false">IFERROR(DATE(("20"&amp;MID(AT19,7,2))*1,MID(AT19,4,2)*1,MID(AT19,1,2)*1),"")</f>
        <v/>
      </c>
      <c r="AW19" s="62" t="str">
        <f aca="false">IFERROR(DATE(("20"&amp;MID(AU19,7,2))*1,MID(AU19,4,2)*1,MID(AU19,1,2)*1),"")</f>
        <v/>
      </c>
      <c r="AX19" s="56" t="s">
        <v>450</v>
      </c>
    </row>
    <row r="20" customFormat="false" ht="12.75" hidden="false" customHeight="true" outlineLevel="0" collapsed="false">
      <c r="A20" s="63"/>
      <c r="B20" s="49" t="str">
        <f aca="false">IF(AL20="","tbc",AL20)</f>
        <v>tbc</v>
      </c>
      <c r="C20" s="49" t="str">
        <f aca="false">IF(AM20="","VNT",AM20)</f>
        <v>VNT</v>
      </c>
      <c r="D20" s="49" t="n">
        <f aca="false">MAX(AC20,IF(AW20="none",AC20,AW20))</f>
        <v>0</v>
      </c>
      <c r="E20" s="50" t="n">
        <f aca="false">IFERROR(DAYS360(AC20,D20),0)</f>
        <v>0</v>
      </c>
      <c r="F20" s="50" t="n">
        <f aca="false">((LEN($AQ20)-LEN(SUBSTITUTE($AQ20,CHAR(10)&amp;". ","")))/3)+IF(LEFT(TRIM($AQ20),2)=". ",1,0)</f>
        <v>0</v>
      </c>
      <c r="G20" s="50" t="n">
        <f aca="false">((LEN($AQ20)-LEN(SUBSTITUTE($AQ20,CHAR(10)&amp;"/ ","")))/3)+IF(LEFT(TRIM($AQ20),2)="/ ",1,0)</f>
        <v>0</v>
      </c>
      <c r="H20" s="50" t="n">
        <f aca="false">((LEN($AQ20)-LEN(SUBSTITUTE($AQ20,CHAR(10)&amp;"~ ","")))/3)+IF(LEFT(TRIM($AQ20),2)="~ ",1,0)</f>
        <v>0</v>
      </c>
      <c r="I20" s="50" t="n">
        <f aca="false">((LEN($AQ20)-LEN(SUBSTITUTE($AQ20,CHAR(10)&amp;"! ","")))/3)+IF(LEFT(TRIM($AQ20),2)="! ",1,0)</f>
        <v>0</v>
      </c>
      <c r="J20" s="50" t="n">
        <f aca="false">((LEN($AQ20)-LEN(SUBSTITUTE($AQ20,CHAR(10)&amp;"x ","")))/3)+IF(LEFT(TRIM($AQ20),2)="x ",1,0)</f>
        <v>0</v>
      </c>
      <c r="K20" s="50" t="n">
        <f aca="false">SUM(F20:J20)</f>
        <v>0</v>
      </c>
      <c r="L20" s="51" t="n">
        <f aca="false">YEAR(D20)</f>
        <v>1899</v>
      </c>
      <c r="M20" s="51" t="str">
        <f aca="false">VLOOKUP(MONTH(D20),Static!$AJ$3:$AK$16,2,0)</f>
        <v>Dec</v>
      </c>
      <c r="N20" s="51" t="n">
        <f aca="false">WEEKNUM(D20,1)</f>
        <v>52</v>
      </c>
      <c r="O20" s="51" t="str">
        <f aca="false">IFERROR(INDEX(Static!$I$5:$L$15,MATCH(AF20,Static!$I$5:$I$15,0),3),"Z")</f>
        <v>Z</v>
      </c>
      <c r="P20" s="51" t="str">
        <f aca="false">IFERROR(INDEX(#REF!,MATCH(AN20,#REF!,0),3),"Z")</f>
        <v>Z</v>
      </c>
      <c r="Q20" s="51" t="str">
        <f aca="false">IFERROR(INDEX(Static!$I$5:$L$15,MATCH(AF20,Static!$I$5:$I$15,0),2),"Y")</f>
        <v>Y</v>
      </c>
      <c r="R20" s="51" t="str">
        <f aca="false">IFERROR(INDEX(Static!$I$5:$L$15,MATCH(AF20,Static!$I$5:$I$15,0),4),"Y")</f>
        <v>Y</v>
      </c>
      <c r="S20" s="51" t="str">
        <f aca="false">IF(AND(AJ20&lt;&gt;"",T20="N",$A$1&gt;=AJ20-(7*$D$2)),"Y","N")</f>
        <v>N</v>
      </c>
      <c r="T20" s="51" t="str">
        <f aca="false">IF(AND(AJ20&lt;&gt;"",$A$1&gt;=AJ20),"Y","N")</f>
        <v>N</v>
      </c>
      <c r="U20" s="51" t="str">
        <f aca="false">IF(D20&gt;(($A$1-WEEKDAY($A$1,2))-7*$D$2),"Y","N")</f>
        <v>N</v>
      </c>
      <c r="V20" s="49" t="str">
        <f aca="false">IF(AR20&gt;0,"Y","N")</f>
        <v>N</v>
      </c>
      <c r="W20" s="51" t="str">
        <f aca="false">IF(AND(U20="Y",V20="N"),"Y","N")</f>
        <v>N</v>
      </c>
      <c r="X20" s="52" t="str">
        <f aca="false">IF(OR(S20="Y",AND(V20="Y",T20="Y"), $A$1=AJ20),"Y","N")</f>
        <v>N</v>
      </c>
      <c r="Y20" s="49" t="str">
        <f aca="false">IF(OR(AD20="Y",AD20="N"),AD20,IF(AND(R20="Y", OR(U20="Y",W20="Y", X20="Y")),"Y","N"))</f>
        <v>N</v>
      </c>
      <c r="Z20" s="51" t="str">
        <f aca="false">IF(OR(Q20="Y", V20="Y",X20="Y"),"Y","N")</f>
        <v>Y</v>
      </c>
      <c r="AA20" s="53" t="str">
        <f aca="false">" -  "&amp;O20&amp;AN20</f>
        <v>-  Z</v>
      </c>
      <c r="AB20" s="51" t="str">
        <f aca="false">IFERROR(VLOOKUP(WEEKDAY(AC20),Static!$AL$3:$AM$11,2,0),"")</f>
        <v/>
      </c>
      <c r="AC20" s="49" t="str">
        <f aca="false">IF(AI20&lt;&gt;"",AI20,AV20)</f>
        <v/>
      </c>
      <c r="AD20" s="54"/>
      <c r="AE20" s="54"/>
      <c r="AF20" s="55"/>
      <c r="AG20" s="56"/>
      <c r="AH20" s="58"/>
      <c r="AI20" s="54"/>
      <c r="AJ20" s="54"/>
      <c r="AK20" s="57"/>
      <c r="AL20" s="54"/>
      <c r="AM20" s="54"/>
      <c r="AN20" s="54"/>
      <c r="AO20" s="58"/>
      <c r="AP20" s="56"/>
      <c r="AQ20" s="58"/>
      <c r="AR20" s="51" t="n">
        <f aca="false">SUM(F20:I20)</f>
        <v>0</v>
      </c>
      <c r="AS20" s="59" t="n">
        <f aca="false">IF(AG20="",1,IF(K20&lt;&gt;0,(G20*0.5+J20)/K20,1))</f>
        <v>1</v>
      </c>
      <c r="AT20" s="60" t="str">
        <f aca="false">IF(AP20="","",IF(ISERROR(FIND(CHAR(10),AP20,1)),AP20,LEFT(AP20,FIND(CHAR(10),AP20,1))))</f>
        <v/>
      </c>
      <c r="AU20" s="61" t="str">
        <f aca="false">IF(AP20="","",IFERROR(RIGHT(AP20,LEN(AP20)-FIND("@@@",SUBSTITUTE(AP20,CHAR(10),"@@@",LEN(AP20)-LEN(SUBSTITUTE(AP20,CHAR(10),""))),1)),AP20))</f>
        <v/>
      </c>
      <c r="AV20" s="62" t="str">
        <f aca="false">IFERROR(DATE(("20"&amp;MID(AT20,7,2))*1,MID(AT20,4,2)*1,MID(AT20,1,2)*1),"")</f>
        <v/>
      </c>
      <c r="AW20" s="62" t="str">
        <f aca="false">IFERROR(DATE(("20"&amp;MID(AU20,7,2))*1,MID(AU20,4,2)*1,MID(AU20,1,2)*1),"")</f>
        <v/>
      </c>
      <c r="AX20" s="56" t="s">
        <v>450</v>
      </c>
    </row>
    <row r="21" customFormat="false" ht="12.75" hidden="false" customHeight="true" outlineLevel="0" collapsed="false">
      <c r="A21" s="63"/>
      <c r="B21" s="49" t="str">
        <f aca="false">IF(AL21="","tbc",AL21)</f>
        <v>tbc</v>
      </c>
      <c r="C21" s="49" t="str">
        <f aca="false">IF(AM21="","VNT",AM21)</f>
        <v>VNT</v>
      </c>
      <c r="D21" s="49" t="n">
        <f aca="false">MAX(AC21,IF(AW21="none",AC21,AW21))</f>
        <v>0</v>
      </c>
      <c r="E21" s="50" t="n">
        <f aca="false">IFERROR(DAYS360(AC21,D21),0)</f>
        <v>0</v>
      </c>
      <c r="F21" s="50" t="n">
        <f aca="false">((LEN($AQ21)-LEN(SUBSTITUTE($AQ21,CHAR(10)&amp;". ","")))/3)+IF(LEFT(TRIM($AQ21),2)=". ",1,0)</f>
        <v>0</v>
      </c>
      <c r="G21" s="50" t="n">
        <f aca="false">((LEN($AQ21)-LEN(SUBSTITUTE($AQ21,CHAR(10)&amp;"/ ","")))/3)+IF(LEFT(TRIM($AQ21),2)="/ ",1,0)</f>
        <v>0</v>
      </c>
      <c r="H21" s="50" t="n">
        <f aca="false">((LEN($AQ21)-LEN(SUBSTITUTE($AQ21,CHAR(10)&amp;"~ ","")))/3)+IF(LEFT(TRIM($AQ21),2)="~ ",1,0)</f>
        <v>0</v>
      </c>
      <c r="I21" s="50" t="n">
        <f aca="false">((LEN($AQ21)-LEN(SUBSTITUTE($AQ21,CHAR(10)&amp;"! ","")))/3)+IF(LEFT(TRIM($AQ21),2)="! ",1,0)</f>
        <v>0</v>
      </c>
      <c r="J21" s="50" t="n">
        <f aca="false">((LEN($AQ21)-LEN(SUBSTITUTE($AQ21,CHAR(10)&amp;"x ","")))/3)+IF(LEFT(TRIM($AQ21),2)="x ",1,0)</f>
        <v>0</v>
      </c>
      <c r="K21" s="50" t="n">
        <f aca="false">SUM(F21:J21)</f>
        <v>0</v>
      </c>
      <c r="L21" s="51" t="n">
        <f aca="false">YEAR(D21)</f>
        <v>1899</v>
      </c>
      <c r="M21" s="51" t="str">
        <f aca="false">VLOOKUP(MONTH(D21),Static!$AJ$3:$AK$16,2,0)</f>
        <v>Dec</v>
      </c>
      <c r="N21" s="51" t="n">
        <f aca="false">WEEKNUM(D21,1)</f>
        <v>52</v>
      </c>
      <c r="O21" s="51" t="str">
        <f aca="false">IFERROR(INDEX(Static!$I$5:$L$15,MATCH(AF21,Static!$I$5:$I$15,0),3),"Z")</f>
        <v>Z</v>
      </c>
      <c r="P21" s="51" t="str">
        <f aca="false">IFERROR(INDEX(#REF!,MATCH(AN21,#REF!,0),3),"Z")</f>
        <v>Z</v>
      </c>
      <c r="Q21" s="51" t="str">
        <f aca="false">IFERROR(INDEX(Static!$I$5:$L$15,MATCH(AF21,Static!$I$5:$I$15,0),2),"Y")</f>
        <v>Y</v>
      </c>
      <c r="R21" s="51" t="str">
        <f aca="false">IFERROR(INDEX(Static!$I$5:$L$15,MATCH(AF21,Static!$I$5:$I$15,0),4),"Y")</f>
        <v>Y</v>
      </c>
      <c r="S21" s="51" t="str">
        <f aca="false">IF(AND(AJ21&lt;&gt;"",T21="N",$A$1&gt;=AJ21-(7*$D$2)),"Y","N")</f>
        <v>N</v>
      </c>
      <c r="T21" s="51" t="str">
        <f aca="false">IF(AND(AJ21&lt;&gt;"",$A$1&gt;=AJ21),"Y","N")</f>
        <v>N</v>
      </c>
      <c r="U21" s="51" t="str">
        <f aca="false">IF(D21&gt;(($A$1-WEEKDAY($A$1,2))-7*$D$2),"Y","N")</f>
        <v>N</v>
      </c>
      <c r="V21" s="49" t="str">
        <f aca="false">IF(AR21&gt;0,"Y","N")</f>
        <v>N</v>
      </c>
      <c r="W21" s="51" t="str">
        <f aca="false">IF(AND(U21="Y",V21="N"),"Y","N")</f>
        <v>N</v>
      </c>
      <c r="X21" s="52" t="str">
        <f aca="false">IF(OR(S21="Y",AND(V21="Y",T21="Y"), $A$1=AJ21),"Y","N")</f>
        <v>N</v>
      </c>
      <c r="Y21" s="49" t="str">
        <f aca="false">IF(OR(AD21="Y",AD21="N"),AD21,IF(AND(R21="Y", OR(U21="Y",W21="Y", X21="Y")),"Y","N"))</f>
        <v>N</v>
      </c>
      <c r="Z21" s="51" t="str">
        <f aca="false">IF(OR(Q21="Y", V21="Y",X21="Y"),"Y","N")</f>
        <v>Y</v>
      </c>
      <c r="AA21" s="53" t="str">
        <f aca="false">" -  "&amp;O21&amp;AN21</f>
        <v>-  Z</v>
      </c>
      <c r="AB21" s="51" t="str">
        <f aca="false">IFERROR(VLOOKUP(WEEKDAY(AC21),Static!$AL$3:$AM$11,2,0),"")</f>
        <v/>
      </c>
      <c r="AC21" s="49" t="str">
        <f aca="false">IF(AI21&lt;&gt;"",AI21,AV21)</f>
        <v/>
      </c>
      <c r="AD21" s="54"/>
      <c r="AE21" s="54"/>
      <c r="AF21" s="55"/>
      <c r="AG21" s="56"/>
      <c r="AH21" s="58"/>
      <c r="AI21" s="54"/>
      <c r="AJ21" s="54"/>
      <c r="AK21" s="57"/>
      <c r="AL21" s="54"/>
      <c r="AM21" s="54"/>
      <c r="AN21" s="54"/>
      <c r="AO21" s="58"/>
      <c r="AP21" s="56"/>
      <c r="AQ21" s="58"/>
      <c r="AR21" s="51" t="n">
        <f aca="false">SUM(F21:I21)</f>
        <v>0</v>
      </c>
      <c r="AS21" s="59" t="n">
        <f aca="false">IF(AG21="",1,IF(K21&lt;&gt;0,(G21*0.5+J21)/K21,1))</f>
        <v>1</v>
      </c>
      <c r="AT21" s="60" t="str">
        <f aca="false">IF(AP21="","",IF(ISERROR(FIND(CHAR(10),AP21,1)),AP21,LEFT(AP21,FIND(CHAR(10),AP21,1))))</f>
        <v/>
      </c>
      <c r="AU21" s="61" t="str">
        <f aca="false">IF(AP21="","",IFERROR(RIGHT(AP21,LEN(AP21)-FIND("@@@",SUBSTITUTE(AP21,CHAR(10),"@@@",LEN(AP21)-LEN(SUBSTITUTE(AP21,CHAR(10),""))),1)),AP21))</f>
        <v/>
      </c>
      <c r="AV21" s="62" t="str">
        <f aca="false">IFERROR(DATE(("20"&amp;MID(AT21,7,2))*1,MID(AT21,4,2)*1,MID(AT21,1,2)*1),"")</f>
        <v/>
      </c>
      <c r="AW21" s="62" t="str">
        <f aca="false">IFERROR(DATE(("20"&amp;MID(AU21,7,2))*1,MID(AU21,4,2)*1,MID(AU21,1,2)*1),"")</f>
        <v/>
      </c>
      <c r="AX21" s="56" t="s">
        <v>450</v>
      </c>
    </row>
    <row r="22" customFormat="false" ht="12.75" hidden="false" customHeight="true" outlineLevel="0" collapsed="false">
      <c r="A22" s="63"/>
      <c r="B22" s="49" t="str">
        <f aca="false">IF(AL22="","tbc",AL22)</f>
        <v>tbc</v>
      </c>
      <c r="C22" s="49" t="str">
        <f aca="false">IF(AM22="","VNT",AM22)</f>
        <v>VNT</v>
      </c>
      <c r="D22" s="49" t="n">
        <f aca="false">MAX(AC22,IF(AW22="none",AC22,AW22))</f>
        <v>0</v>
      </c>
      <c r="E22" s="50" t="n">
        <f aca="false">IFERROR(DAYS360(AC22,D22),0)</f>
        <v>0</v>
      </c>
      <c r="F22" s="50" t="n">
        <f aca="false">((LEN($AQ22)-LEN(SUBSTITUTE($AQ22,CHAR(10)&amp;". ","")))/3)+IF(LEFT(TRIM($AQ22),2)=". ",1,0)</f>
        <v>0</v>
      </c>
      <c r="G22" s="50" t="n">
        <f aca="false">((LEN($AQ22)-LEN(SUBSTITUTE($AQ22,CHAR(10)&amp;"/ ","")))/3)+IF(LEFT(TRIM($AQ22),2)="/ ",1,0)</f>
        <v>0</v>
      </c>
      <c r="H22" s="50" t="n">
        <f aca="false">((LEN($AQ22)-LEN(SUBSTITUTE($AQ22,CHAR(10)&amp;"~ ","")))/3)+IF(LEFT(TRIM($AQ22),2)="~ ",1,0)</f>
        <v>0</v>
      </c>
      <c r="I22" s="50" t="n">
        <f aca="false">((LEN($AQ22)-LEN(SUBSTITUTE($AQ22,CHAR(10)&amp;"! ","")))/3)+IF(LEFT(TRIM($AQ22),2)="! ",1,0)</f>
        <v>0</v>
      </c>
      <c r="J22" s="50" t="n">
        <f aca="false">((LEN($AQ22)-LEN(SUBSTITUTE($AQ22,CHAR(10)&amp;"x ","")))/3)+IF(LEFT(TRIM($AQ22),2)="x ",1,0)</f>
        <v>0</v>
      </c>
      <c r="K22" s="50" t="n">
        <f aca="false">SUM(F22:J22)</f>
        <v>0</v>
      </c>
      <c r="L22" s="51" t="n">
        <f aca="false">YEAR(D22)</f>
        <v>1899</v>
      </c>
      <c r="M22" s="51" t="str">
        <f aca="false">VLOOKUP(MONTH(D22),Static!$AJ$3:$AK$16,2,0)</f>
        <v>Dec</v>
      </c>
      <c r="N22" s="51" t="n">
        <f aca="false">WEEKNUM(D22,1)</f>
        <v>52</v>
      </c>
      <c r="O22" s="51" t="str">
        <f aca="false">IFERROR(INDEX(Static!$I$5:$L$15,MATCH(AF22,Static!$I$5:$I$15,0),3),"Z")</f>
        <v>Z</v>
      </c>
      <c r="P22" s="51" t="str">
        <f aca="false">IFERROR(INDEX(#REF!,MATCH(AN22,#REF!,0),3),"Z")</f>
        <v>Z</v>
      </c>
      <c r="Q22" s="51" t="str">
        <f aca="false">IFERROR(INDEX(Static!$I$5:$L$15,MATCH(AF22,Static!$I$5:$I$15,0),2),"Y")</f>
        <v>Y</v>
      </c>
      <c r="R22" s="51" t="str">
        <f aca="false">IFERROR(INDEX(Static!$I$5:$L$15,MATCH(AF22,Static!$I$5:$I$15,0),4),"Y")</f>
        <v>Y</v>
      </c>
      <c r="S22" s="51" t="str">
        <f aca="false">IF(AND(AJ22&lt;&gt;"",T22="N",$A$1&gt;=AJ22-(7*$D$2)),"Y","N")</f>
        <v>N</v>
      </c>
      <c r="T22" s="51" t="str">
        <f aca="false">IF(AND(AJ22&lt;&gt;"",$A$1&gt;=AJ22),"Y","N")</f>
        <v>N</v>
      </c>
      <c r="U22" s="51" t="str">
        <f aca="false">IF(D22&gt;(($A$1-WEEKDAY($A$1,2))-7*$D$2),"Y","N")</f>
        <v>N</v>
      </c>
      <c r="V22" s="49" t="str">
        <f aca="false">IF(AR22&gt;0,"Y","N")</f>
        <v>N</v>
      </c>
      <c r="W22" s="51" t="str">
        <f aca="false">IF(AND(U22="Y",V22="N"),"Y","N")</f>
        <v>N</v>
      </c>
      <c r="X22" s="52" t="str">
        <f aca="false">IF(OR(S22="Y",AND(V22="Y",T22="Y"), $A$1=AJ22),"Y","N")</f>
        <v>N</v>
      </c>
      <c r="Y22" s="49" t="str">
        <f aca="false">IF(OR(AD22="Y",AD22="N"),AD22,IF(AND(R22="Y", OR(U22="Y",W22="Y", X22="Y")),"Y","N"))</f>
        <v>N</v>
      </c>
      <c r="Z22" s="51" t="str">
        <f aca="false">IF(OR(Q22="Y", V22="Y",X22="Y"),"Y","N")</f>
        <v>Y</v>
      </c>
      <c r="AA22" s="53" t="str">
        <f aca="false">" -  "&amp;O22&amp;AN22</f>
        <v>-  Z</v>
      </c>
      <c r="AB22" s="51" t="str">
        <f aca="false">IFERROR(VLOOKUP(WEEKDAY(AC22),Static!$AL$3:$AM$11,2,0),"")</f>
        <v/>
      </c>
      <c r="AC22" s="49" t="str">
        <f aca="false">IF(AI22&lt;&gt;"",AI22,AV22)</f>
        <v/>
      </c>
      <c r="AD22" s="54"/>
      <c r="AE22" s="54"/>
      <c r="AF22" s="55"/>
      <c r="AG22" s="56"/>
      <c r="AH22" s="58"/>
      <c r="AI22" s="54"/>
      <c r="AJ22" s="54"/>
      <c r="AK22" s="57"/>
      <c r="AL22" s="54"/>
      <c r="AM22" s="54"/>
      <c r="AN22" s="54"/>
      <c r="AO22" s="58"/>
      <c r="AP22" s="56"/>
      <c r="AQ22" s="56"/>
      <c r="AR22" s="51" t="n">
        <f aca="false">SUM(F22:I22)</f>
        <v>0</v>
      </c>
      <c r="AS22" s="59" t="n">
        <f aca="false">IF(AG22="",1,IF(K22&lt;&gt;0,(G22*0.5+J22)/K22,1))</f>
        <v>1</v>
      </c>
      <c r="AT22" s="60" t="str">
        <f aca="false">IF(AP22="","",IF(ISERROR(FIND(CHAR(10),AP22,1)),AP22,LEFT(AP22,FIND(CHAR(10),AP22,1))))</f>
        <v/>
      </c>
      <c r="AU22" s="61" t="str">
        <f aca="false">IF(AP22="","",IFERROR(RIGHT(AP22,LEN(AP22)-FIND("@@@",SUBSTITUTE(AP22,CHAR(10),"@@@",LEN(AP22)-LEN(SUBSTITUTE(AP22,CHAR(10),""))),1)),AP22))</f>
        <v/>
      </c>
      <c r="AV22" s="62" t="str">
        <f aca="false">IFERROR(DATE(("20"&amp;MID(AT22,7,2))*1,MID(AT22,4,2)*1,MID(AT22,1,2)*1),"")</f>
        <v/>
      </c>
      <c r="AW22" s="62" t="str">
        <f aca="false">IFERROR(DATE(("20"&amp;MID(AU22,7,2))*1,MID(AU22,4,2)*1,MID(AU22,1,2)*1),"")</f>
        <v/>
      </c>
      <c r="AX22" s="56" t="s">
        <v>450</v>
      </c>
    </row>
    <row r="23" customFormat="false" ht="12.75" hidden="false" customHeight="true" outlineLevel="0" collapsed="false">
      <c r="A23" s="63"/>
      <c r="B23" s="49" t="str">
        <f aca="false">IF(AL23="","tbc",AL23)</f>
        <v>tbc</v>
      </c>
      <c r="C23" s="49" t="str">
        <f aca="false">IF(AM23="","VNT",AM23)</f>
        <v>VNT</v>
      </c>
      <c r="D23" s="49" t="n">
        <f aca="false">MAX(AC23,IF(AW23="none",AC23,AW23))</f>
        <v>0</v>
      </c>
      <c r="E23" s="50" t="n">
        <f aca="false">IFERROR(DAYS360(AC23,D23),0)</f>
        <v>0</v>
      </c>
      <c r="F23" s="50" t="n">
        <f aca="false">((LEN($AQ23)-LEN(SUBSTITUTE($AQ23,CHAR(10)&amp;". ","")))/3)+IF(LEFT(TRIM($AQ23),2)=". ",1,0)</f>
        <v>0</v>
      </c>
      <c r="G23" s="50" t="n">
        <f aca="false">((LEN($AQ23)-LEN(SUBSTITUTE($AQ23,CHAR(10)&amp;"/ ","")))/3)+IF(LEFT(TRIM($AQ23),2)="/ ",1,0)</f>
        <v>0</v>
      </c>
      <c r="H23" s="50" t="n">
        <f aca="false">((LEN($AQ23)-LEN(SUBSTITUTE($AQ23,CHAR(10)&amp;"~ ","")))/3)+IF(LEFT(TRIM($AQ23),2)="~ ",1,0)</f>
        <v>0</v>
      </c>
      <c r="I23" s="50" t="n">
        <f aca="false">((LEN($AQ23)-LEN(SUBSTITUTE($AQ23,CHAR(10)&amp;"! ","")))/3)+IF(LEFT(TRIM($AQ23),2)="! ",1,0)</f>
        <v>0</v>
      </c>
      <c r="J23" s="50" t="n">
        <f aca="false">((LEN($AQ23)-LEN(SUBSTITUTE($AQ23,CHAR(10)&amp;"x ","")))/3)+IF(LEFT(TRIM($AQ23),2)="x ",1,0)</f>
        <v>0</v>
      </c>
      <c r="K23" s="50" t="n">
        <f aca="false">SUM(F23:J23)</f>
        <v>0</v>
      </c>
      <c r="L23" s="51" t="n">
        <f aca="false">YEAR(D23)</f>
        <v>1899</v>
      </c>
      <c r="M23" s="51" t="str">
        <f aca="false">VLOOKUP(MONTH(D23),Static!$AJ$3:$AK$16,2,0)</f>
        <v>Dec</v>
      </c>
      <c r="N23" s="51" t="n">
        <f aca="false">WEEKNUM(D23,1)</f>
        <v>52</v>
      </c>
      <c r="O23" s="51" t="str">
        <f aca="false">IFERROR(INDEX(Static!$I$5:$L$15,MATCH(AF23,Static!$I$5:$I$15,0),3),"Z")</f>
        <v>Z</v>
      </c>
      <c r="P23" s="51" t="str">
        <f aca="false">IFERROR(INDEX(#REF!,MATCH(AN23,#REF!,0),3),"Z")</f>
        <v>Z</v>
      </c>
      <c r="Q23" s="51" t="str">
        <f aca="false">IFERROR(INDEX(Static!$I$5:$L$15,MATCH(AF23,Static!$I$5:$I$15,0),2),"Y")</f>
        <v>Y</v>
      </c>
      <c r="R23" s="51" t="str">
        <f aca="false">IFERROR(INDEX(Static!$I$5:$L$15,MATCH(AF23,Static!$I$5:$I$15,0),4),"Y")</f>
        <v>Y</v>
      </c>
      <c r="S23" s="51" t="str">
        <f aca="false">IF(AND(AJ23&lt;&gt;"",T23="N",$A$1&gt;=AJ23-(7*$D$2)),"Y","N")</f>
        <v>N</v>
      </c>
      <c r="T23" s="51" t="str">
        <f aca="false">IF(AND(AJ23&lt;&gt;"",$A$1&gt;=AJ23),"Y","N")</f>
        <v>N</v>
      </c>
      <c r="U23" s="51" t="str">
        <f aca="false">IF(D23&gt;(($A$1-WEEKDAY($A$1,2))-7*$D$2),"Y","N")</f>
        <v>N</v>
      </c>
      <c r="V23" s="49" t="str">
        <f aca="false">IF(AR23&gt;0,"Y","N")</f>
        <v>N</v>
      </c>
      <c r="W23" s="51" t="str">
        <f aca="false">IF(AND(U23="Y",V23="N"),"Y","N")</f>
        <v>N</v>
      </c>
      <c r="X23" s="52" t="str">
        <f aca="false">IF(OR(S23="Y",AND(V23="Y",T23="Y"), $A$1=AJ23),"Y","N")</f>
        <v>N</v>
      </c>
      <c r="Y23" s="49" t="str">
        <f aca="false">IF(OR(AD23="Y",AD23="N"),AD23,IF(AND(R23="Y", OR(U23="Y",W23="Y", X23="Y")),"Y","N"))</f>
        <v>N</v>
      </c>
      <c r="Z23" s="51" t="str">
        <f aca="false">IF(OR(Q23="Y", V23="Y",X23="Y"),"Y","N")</f>
        <v>Y</v>
      </c>
      <c r="AA23" s="53" t="str">
        <f aca="false">" -  "&amp;O23&amp;AN23</f>
        <v>-  Z</v>
      </c>
      <c r="AB23" s="51" t="str">
        <f aca="false">IFERROR(VLOOKUP(WEEKDAY(AC23),Static!$AL$3:$AM$11,2,0),"")</f>
        <v/>
      </c>
      <c r="AC23" s="49" t="str">
        <f aca="false">IF(AI23&lt;&gt;"",AI23,AV23)</f>
        <v/>
      </c>
      <c r="AD23" s="54"/>
      <c r="AE23" s="54"/>
      <c r="AF23" s="55"/>
      <c r="AG23" s="56"/>
      <c r="AH23" s="58"/>
      <c r="AI23" s="54"/>
      <c r="AJ23" s="54"/>
      <c r="AK23" s="57"/>
      <c r="AL23" s="54"/>
      <c r="AM23" s="54"/>
      <c r="AN23" s="54"/>
      <c r="AO23" s="58"/>
      <c r="AP23" s="56"/>
      <c r="AQ23" s="58"/>
      <c r="AR23" s="51" t="n">
        <f aca="false">SUM(F23:I23)</f>
        <v>0</v>
      </c>
      <c r="AS23" s="59" t="n">
        <f aca="false">IF(AG23="",1,IF(K23&lt;&gt;0,(G23*0.5+J23)/K23,1))</f>
        <v>1</v>
      </c>
      <c r="AT23" s="60" t="str">
        <f aca="false">IF(AP23="","",IF(ISERROR(FIND(CHAR(10),AP23,1)),AP23,LEFT(AP23,FIND(CHAR(10),AP23,1))))</f>
        <v/>
      </c>
      <c r="AU23" s="61" t="str">
        <f aca="false">IF(AP23="","",IFERROR(RIGHT(AP23,LEN(AP23)-FIND("@@@",SUBSTITUTE(AP23,CHAR(10),"@@@",LEN(AP23)-LEN(SUBSTITUTE(AP23,CHAR(10),""))),1)),AP23))</f>
        <v/>
      </c>
      <c r="AV23" s="62" t="str">
        <f aca="false">IFERROR(DATE(("20"&amp;MID(AT23,7,2))*1,MID(AT23,4,2)*1,MID(AT23,1,2)*1),"")</f>
        <v/>
      </c>
      <c r="AW23" s="62" t="str">
        <f aca="false">IFERROR(DATE(("20"&amp;MID(AU23,7,2))*1,MID(AU23,4,2)*1,MID(AU23,1,2)*1),"")</f>
        <v/>
      </c>
      <c r="AX23" s="56" t="s">
        <v>450</v>
      </c>
    </row>
    <row r="24" customFormat="false" ht="12.75" hidden="false" customHeight="true" outlineLevel="0" collapsed="false">
      <c r="A24" s="63"/>
      <c r="B24" s="49" t="str">
        <f aca="false">IF(AL24="","tbc",AL24)</f>
        <v>tbc</v>
      </c>
      <c r="C24" s="49" t="str">
        <f aca="false">IF(AM24="","VNT",AM24)</f>
        <v>VNT</v>
      </c>
      <c r="D24" s="49" t="n">
        <f aca="false">MAX(AC24,IF(AW24="none",AC24,AW24))</f>
        <v>0</v>
      </c>
      <c r="E24" s="50" t="n">
        <f aca="false">IFERROR(DAYS360(AC24,D24),0)</f>
        <v>0</v>
      </c>
      <c r="F24" s="50" t="n">
        <f aca="false">((LEN($AQ24)-LEN(SUBSTITUTE($AQ24,CHAR(10)&amp;". ","")))/3)+IF(LEFT(TRIM($AQ24),2)=". ",1,0)</f>
        <v>0</v>
      </c>
      <c r="G24" s="50" t="n">
        <f aca="false">((LEN($AQ24)-LEN(SUBSTITUTE($AQ24,CHAR(10)&amp;"/ ","")))/3)+IF(LEFT(TRIM($AQ24),2)="/ ",1,0)</f>
        <v>0</v>
      </c>
      <c r="H24" s="50" t="n">
        <f aca="false">((LEN($AQ24)-LEN(SUBSTITUTE($AQ24,CHAR(10)&amp;"~ ","")))/3)+IF(LEFT(TRIM($AQ24),2)="~ ",1,0)</f>
        <v>0</v>
      </c>
      <c r="I24" s="50" t="n">
        <f aca="false">((LEN($AQ24)-LEN(SUBSTITUTE($AQ24,CHAR(10)&amp;"! ","")))/3)+IF(LEFT(TRIM($AQ24),2)="! ",1,0)</f>
        <v>0</v>
      </c>
      <c r="J24" s="50" t="n">
        <f aca="false">((LEN($AQ24)-LEN(SUBSTITUTE($AQ24,CHAR(10)&amp;"x ","")))/3)+IF(LEFT(TRIM($AQ24),2)="x ",1,0)</f>
        <v>0</v>
      </c>
      <c r="K24" s="50" t="n">
        <f aca="false">SUM(F24:J24)</f>
        <v>0</v>
      </c>
      <c r="L24" s="51" t="n">
        <f aca="false">YEAR(D24)</f>
        <v>1899</v>
      </c>
      <c r="M24" s="51" t="str">
        <f aca="false">VLOOKUP(MONTH(D24),Static!$AJ$3:$AK$16,2,0)</f>
        <v>Dec</v>
      </c>
      <c r="N24" s="51" t="n">
        <f aca="false">WEEKNUM(D24,1)</f>
        <v>52</v>
      </c>
      <c r="O24" s="51" t="str">
        <f aca="false">IFERROR(INDEX(Static!$I$5:$L$15,MATCH(AF24,Static!$I$5:$I$15,0),3),"Z")</f>
        <v>Z</v>
      </c>
      <c r="P24" s="51" t="str">
        <f aca="false">IFERROR(INDEX(#REF!,MATCH(AN24,#REF!,0),3),"Z")</f>
        <v>Z</v>
      </c>
      <c r="Q24" s="51" t="str">
        <f aca="false">IFERROR(INDEX(Static!$I$5:$L$15,MATCH(AF24,Static!$I$5:$I$15,0),2),"Y")</f>
        <v>Y</v>
      </c>
      <c r="R24" s="51" t="str">
        <f aca="false">IFERROR(INDEX(Static!$I$5:$L$15,MATCH(AF24,Static!$I$5:$I$15,0),4),"Y")</f>
        <v>Y</v>
      </c>
      <c r="S24" s="51" t="str">
        <f aca="false">IF(AND(AJ24&lt;&gt;"",T24="N",$A$1&gt;=AJ24-(7*$D$2)),"Y","N")</f>
        <v>N</v>
      </c>
      <c r="T24" s="51" t="str">
        <f aca="false">IF(AND(AJ24&lt;&gt;"",$A$1&gt;=AJ24),"Y","N")</f>
        <v>N</v>
      </c>
      <c r="U24" s="51" t="str">
        <f aca="false">IF(D24&gt;(($A$1-WEEKDAY($A$1,2))-7*$D$2),"Y","N")</f>
        <v>N</v>
      </c>
      <c r="V24" s="49" t="str">
        <f aca="false">IF(AR24&gt;0,"Y","N")</f>
        <v>N</v>
      </c>
      <c r="W24" s="51" t="str">
        <f aca="false">IF(AND(U24="Y",V24="N"),"Y","N")</f>
        <v>N</v>
      </c>
      <c r="X24" s="52" t="str">
        <f aca="false">IF(OR(S24="Y",AND(V24="Y",T24="Y"), $A$1=AJ24),"Y","N")</f>
        <v>N</v>
      </c>
      <c r="Y24" s="49" t="str">
        <f aca="false">IF(OR(AD24="Y",AD24="N"),AD24,IF(AND(R24="Y", OR(U24="Y",W24="Y", X24="Y")),"Y","N"))</f>
        <v>N</v>
      </c>
      <c r="Z24" s="51" t="str">
        <f aca="false">IF(OR(Q24="Y", V24="Y",X24="Y"),"Y","N")</f>
        <v>Y</v>
      </c>
      <c r="AA24" s="53" t="str">
        <f aca="false">" -  "&amp;O24&amp;AN24</f>
        <v>-  Z</v>
      </c>
      <c r="AB24" s="51" t="str">
        <f aca="false">IFERROR(VLOOKUP(WEEKDAY(AC24),Static!$AL$3:$AM$11,2,0),"")</f>
        <v/>
      </c>
      <c r="AC24" s="49" t="str">
        <f aca="false">IF(AI24&lt;&gt;"",AI24,AV24)</f>
        <v/>
      </c>
      <c r="AD24" s="54"/>
      <c r="AE24" s="54"/>
      <c r="AF24" s="55"/>
      <c r="AG24" s="56"/>
      <c r="AH24" s="56"/>
      <c r="AI24" s="54"/>
      <c r="AJ24" s="54"/>
      <c r="AK24" s="57"/>
      <c r="AL24" s="54"/>
      <c r="AM24" s="54"/>
      <c r="AN24" s="54"/>
      <c r="AO24" s="58"/>
      <c r="AP24" s="56"/>
      <c r="AQ24" s="58"/>
      <c r="AR24" s="51" t="n">
        <f aca="false">SUM(F24:I24)</f>
        <v>0</v>
      </c>
      <c r="AS24" s="59" t="n">
        <f aca="false">IF(AG24="",1,IF(K24&lt;&gt;0,(G24*0.5+J24)/K24,1))</f>
        <v>1</v>
      </c>
      <c r="AT24" s="60" t="str">
        <f aca="false">IF(AP24="","",IF(ISERROR(FIND(CHAR(10),AP24,1)),AP24,LEFT(AP24,FIND(CHAR(10),AP24,1))))</f>
        <v/>
      </c>
      <c r="AU24" s="61" t="str">
        <f aca="false">IF(AP24="","",IFERROR(RIGHT(AP24,LEN(AP24)-FIND("@@@",SUBSTITUTE(AP24,CHAR(10),"@@@",LEN(AP24)-LEN(SUBSTITUTE(AP24,CHAR(10),""))),1)),AP24))</f>
        <v/>
      </c>
      <c r="AV24" s="62" t="str">
        <f aca="false">IFERROR(DATE(("20"&amp;MID(AT24,7,2))*1,MID(AT24,4,2)*1,MID(AT24,1,2)*1),"")</f>
        <v/>
      </c>
      <c r="AW24" s="62" t="str">
        <f aca="false">IFERROR(DATE(("20"&amp;MID(AU24,7,2))*1,MID(AU24,4,2)*1,MID(AU24,1,2)*1),"")</f>
        <v/>
      </c>
      <c r="AX24" s="56" t="s">
        <v>450</v>
      </c>
    </row>
    <row r="25" customFormat="false" ht="12.75" hidden="false" customHeight="true" outlineLevel="0" collapsed="false">
      <c r="A25" s="63"/>
      <c r="B25" s="49" t="str">
        <f aca="false">IF(AL25="","tbc",AL25)</f>
        <v>tbc</v>
      </c>
      <c r="C25" s="49" t="str">
        <f aca="false">IF(AM25="","VNT",AM25)</f>
        <v>VNT</v>
      </c>
      <c r="D25" s="49" t="n">
        <f aca="false">MAX(AC25,IF(AW25="none",AC25,AW25))</f>
        <v>0</v>
      </c>
      <c r="E25" s="50" t="n">
        <f aca="false">IFERROR(DAYS360(AC25,D25),0)</f>
        <v>0</v>
      </c>
      <c r="F25" s="50" t="n">
        <f aca="false">((LEN($AQ25)-LEN(SUBSTITUTE($AQ25,CHAR(10)&amp;". ","")))/3)+IF(LEFT(TRIM($AQ25),2)=". ",1,0)</f>
        <v>0</v>
      </c>
      <c r="G25" s="50" t="n">
        <f aca="false">((LEN($AQ25)-LEN(SUBSTITUTE($AQ25,CHAR(10)&amp;"/ ","")))/3)+IF(LEFT(TRIM($AQ25),2)="/ ",1,0)</f>
        <v>0</v>
      </c>
      <c r="H25" s="50" t="n">
        <f aca="false">((LEN($AQ25)-LEN(SUBSTITUTE($AQ25,CHAR(10)&amp;"~ ","")))/3)+IF(LEFT(TRIM($AQ25),2)="~ ",1,0)</f>
        <v>0</v>
      </c>
      <c r="I25" s="50" t="n">
        <f aca="false">((LEN($AQ25)-LEN(SUBSTITUTE($AQ25,CHAR(10)&amp;"! ","")))/3)+IF(LEFT(TRIM($AQ25),2)="! ",1,0)</f>
        <v>0</v>
      </c>
      <c r="J25" s="50" t="n">
        <f aca="false">((LEN($AQ25)-LEN(SUBSTITUTE($AQ25,CHAR(10)&amp;"x ","")))/3)+IF(LEFT(TRIM($AQ25),2)="x ",1,0)</f>
        <v>0</v>
      </c>
      <c r="K25" s="50" t="n">
        <f aca="false">SUM(F25:J25)</f>
        <v>0</v>
      </c>
      <c r="L25" s="51" t="n">
        <f aca="false">YEAR(D25)</f>
        <v>1899</v>
      </c>
      <c r="M25" s="51" t="str">
        <f aca="false">VLOOKUP(MONTH(D25),Static!$AJ$3:$AK$16,2,0)</f>
        <v>Dec</v>
      </c>
      <c r="N25" s="51" t="n">
        <f aca="false">WEEKNUM(D25,1)</f>
        <v>52</v>
      </c>
      <c r="O25" s="51" t="str">
        <f aca="false">IFERROR(INDEX(Static!$I$5:$L$15,MATCH(AF25,Static!$I$5:$I$15,0),3),"Z")</f>
        <v>Z</v>
      </c>
      <c r="P25" s="51" t="str">
        <f aca="false">IFERROR(INDEX(#REF!,MATCH(AN25,#REF!,0),3),"Z")</f>
        <v>Z</v>
      </c>
      <c r="Q25" s="51" t="str">
        <f aca="false">IFERROR(INDEX(Static!$I$5:$L$15,MATCH(AF25,Static!$I$5:$I$15,0),2),"Y")</f>
        <v>Y</v>
      </c>
      <c r="R25" s="51" t="str">
        <f aca="false">IFERROR(INDEX(Static!$I$5:$L$15,MATCH(AF25,Static!$I$5:$I$15,0),4),"Y")</f>
        <v>Y</v>
      </c>
      <c r="S25" s="51" t="str">
        <f aca="false">IF(AND(AJ25&lt;&gt;"",T25="N",$A$1&gt;=AJ25-(7*$D$2)),"Y","N")</f>
        <v>N</v>
      </c>
      <c r="T25" s="51" t="str">
        <f aca="false">IF(AND(AJ25&lt;&gt;"",$A$1&gt;=AJ25),"Y","N")</f>
        <v>N</v>
      </c>
      <c r="U25" s="51" t="str">
        <f aca="false">IF(D25&gt;(($A$1-WEEKDAY($A$1,2))-7*$D$2),"Y","N")</f>
        <v>N</v>
      </c>
      <c r="V25" s="49" t="str">
        <f aca="false">IF(AR25&gt;0,"Y","N")</f>
        <v>N</v>
      </c>
      <c r="W25" s="51" t="str">
        <f aca="false">IF(AND(U25="Y",V25="N"),"Y","N")</f>
        <v>N</v>
      </c>
      <c r="X25" s="52" t="str">
        <f aca="false">IF(OR(S25="Y",AND(V25="Y",T25="Y"), $A$1=AJ25),"Y","N")</f>
        <v>N</v>
      </c>
      <c r="Y25" s="49" t="str">
        <f aca="false">IF(OR(AD25="Y",AD25="N"),AD25,IF(AND(R25="Y", OR(U25="Y",W25="Y", X25="Y")),"Y","N"))</f>
        <v>N</v>
      </c>
      <c r="Z25" s="51" t="str">
        <f aca="false">IF(OR(Q25="Y", V25="Y",X25="Y"),"Y","N")</f>
        <v>Y</v>
      </c>
      <c r="AA25" s="53" t="str">
        <f aca="false">" -  "&amp;O25&amp;AN25</f>
        <v>-  Z</v>
      </c>
      <c r="AB25" s="51" t="str">
        <f aca="false">IFERROR(VLOOKUP(WEEKDAY(AC25),Static!$AL$3:$AM$11,2,0),"")</f>
        <v/>
      </c>
      <c r="AC25" s="49" t="str">
        <f aca="false">IF(AI25&lt;&gt;"",AI25,AV25)</f>
        <v/>
      </c>
      <c r="AD25" s="54"/>
      <c r="AE25" s="54"/>
      <c r="AF25" s="55"/>
      <c r="AG25" s="56"/>
      <c r="AH25" s="56"/>
      <c r="AI25" s="54"/>
      <c r="AJ25" s="54"/>
      <c r="AK25" s="57"/>
      <c r="AL25" s="54"/>
      <c r="AM25" s="54"/>
      <c r="AN25" s="54"/>
      <c r="AO25" s="58"/>
      <c r="AP25" s="56"/>
      <c r="AQ25" s="56"/>
      <c r="AR25" s="51" t="n">
        <f aca="false">SUM(F25:I25)</f>
        <v>0</v>
      </c>
      <c r="AS25" s="59" t="n">
        <f aca="false">IF(AG25="",1,IF(K25&lt;&gt;0,(G25*0.5+J25)/K25,1))</f>
        <v>1</v>
      </c>
      <c r="AT25" s="60" t="str">
        <f aca="false">IF(AP25="","",IF(ISERROR(FIND(CHAR(10),AP25,1)),AP25,LEFT(AP25,FIND(CHAR(10),AP25,1))))</f>
        <v/>
      </c>
      <c r="AU25" s="61" t="str">
        <f aca="false">IF(AP25="","",IFERROR(RIGHT(AP25,LEN(AP25)-FIND("@@@",SUBSTITUTE(AP25,CHAR(10),"@@@",LEN(AP25)-LEN(SUBSTITUTE(AP25,CHAR(10),""))),1)),AP25))</f>
        <v/>
      </c>
      <c r="AV25" s="62" t="str">
        <f aca="false">IFERROR(DATE(("20"&amp;MID(AT25,7,2))*1,MID(AT25,4,2)*1,MID(AT25,1,2)*1),"")</f>
        <v/>
      </c>
      <c r="AW25" s="62" t="str">
        <f aca="false">IFERROR(DATE(("20"&amp;MID(AU25,7,2))*1,MID(AU25,4,2)*1,MID(AU25,1,2)*1),"")</f>
        <v/>
      </c>
      <c r="AX25" s="56" t="s">
        <v>450</v>
      </c>
    </row>
    <row r="26" customFormat="false" ht="12.75" hidden="false" customHeight="true" outlineLevel="0" collapsed="false">
      <c r="A26" s="63"/>
      <c r="B26" s="49" t="str">
        <f aca="false">IF(AL26="","tbc",AL26)</f>
        <v>tbc</v>
      </c>
      <c r="C26" s="49" t="str">
        <f aca="false">IF(AM26="","VNT",AM26)</f>
        <v>VNT</v>
      </c>
      <c r="D26" s="49" t="n">
        <f aca="false">MAX(AC26,IF(AW26="none",AC26,AW26))</f>
        <v>0</v>
      </c>
      <c r="E26" s="50" t="n">
        <f aca="false">IFERROR(DAYS360(AC26,D26),0)</f>
        <v>0</v>
      </c>
      <c r="F26" s="50" t="n">
        <f aca="false">((LEN($AQ26)-LEN(SUBSTITUTE($AQ26,CHAR(10)&amp;". ","")))/3)+IF(LEFT(TRIM($AQ26),2)=". ",1,0)</f>
        <v>0</v>
      </c>
      <c r="G26" s="50" t="n">
        <f aca="false">((LEN($AQ26)-LEN(SUBSTITUTE($AQ26,CHAR(10)&amp;"/ ","")))/3)+IF(LEFT(TRIM($AQ26),2)="/ ",1,0)</f>
        <v>0</v>
      </c>
      <c r="H26" s="50" t="n">
        <f aca="false">((LEN($AQ26)-LEN(SUBSTITUTE($AQ26,CHAR(10)&amp;"~ ","")))/3)+IF(LEFT(TRIM($AQ26),2)="~ ",1,0)</f>
        <v>0</v>
      </c>
      <c r="I26" s="50" t="n">
        <f aca="false">((LEN($AQ26)-LEN(SUBSTITUTE($AQ26,CHAR(10)&amp;"! ","")))/3)+IF(LEFT(TRIM($AQ26),2)="! ",1,0)</f>
        <v>0</v>
      </c>
      <c r="J26" s="50" t="n">
        <f aca="false">((LEN($AQ26)-LEN(SUBSTITUTE($AQ26,CHAR(10)&amp;"x ","")))/3)+IF(LEFT(TRIM($AQ26),2)="x ",1,0)</f>
        <v>0</v>
      </c>
      <c r="K26" s="50" t="n">
        <f aca="false">SUM(F26:J26)</f>
        <v>0</v>
      </c>
      <c r="L26" s="51" t="n">
        <f aca="false">YEAR(D26)</f>
        <v>1899</v>
      </c>
      <c r="M26" s="51" t="str">
        <f aca="false">VLOOKUP(MONTH(D26),Static!$AJ$3:$AK$16,2,0)</f>
        <v>Dec</v>
      </c>
      <c r="N26" s="51" t="n">
        <f aca="false">WEEKNUM(D26,1)</f>
        <v>52</v>
      </c>
      <c r="O26" s="51" t="str">
        <f aca="false">IFERROR(INDEX(Static!$I$5:$L$15,MATCH(AF26,Static!$I$5:$I$15,0),3),"Z")</f>
        <v>Z</v>
      </c>
      <c r="P26" s="51" t="str">
        <f aca="false">IFERROR(INDEX(#REF!,MATCH(AN26,#REF!,0),3),"Z")</f>
        <v>Z</v>
      </c>
      <c r="Q26" s="51" t="str">
        <f aca="false">IFERROR(INDEX(Static!$I$5:$L$15,MATCH(AF26,Static!$I$5:$I$15,0),2),"Y")</f>
        <v>Y</v>
      </c>
      <c r="R26" s="51" t="str">
        <f aca="false">IFERROR(INDEX(Static!$I$5:$L$15,MATCH(AF26,Static!$I$5:$I$15,0),4),"Y")</f>
        <v>Y</v>
      </c>
      <c r="S26" s="51" t="str">
        <f aca="false">IF(AND(AJ26&lt;&gt;"",T26="N",$A$1&gt;=AJ26-(7*$D$2)),"Y","N")</f>
        <v>N</v>
      </c>
      <c r="T26" s="51" t="str">
        <f aca="false">IF(AND(AJ26&lt;&gt;"",$A$1&gt;=AJ26),"Y","N")</f>
        <v>N</v>
      </c>
      <c r="U26" s="51" t="str">
        <f aca="false">IF(D26&gt;(($A$1-WEEKDAY($A$1,2))-7*$D$2),"Y","N")</f>
        <v>N</v>
      </c>
      <c r="V26" s="49" t="str">
        <f aca="false">IF(AR26&gt;0,"Y","N")</f>
        <v>N</v>
      </c>
      <c r="W26" s="51" t="str">
        <f aca="false">IF(AND(U26="Y",V26="N"),"Y","N")</f>
        <v>N</v>
      </c>
      <c r="X26" s="52" t="str">
        <f aca="false">IF(OR(S26="Y",AND(V26="Y",T26="Y"), $A$1=AJ26),"Y","N")</f>
        <v>N</v>
      </c>
      <c r="Y26" s="49" t="str">
        <f aca="false">IF(OR(AD26="Y",AD26="N"),AD26,IF(AND(R26="Y", OR(U26="Y",W26="Y", X26="Y")),"Y","N"))</f>
        <v>N</v>
      </c>
      <c r="Z26" s="51" t="str">
        <f aca="false">IF(OR(Q26="Y", V26="Y",X26="Y"),"Y","N")</f>
        <v>Y</v>
      </c>
      <c r="AA26" s="53" t="str">
        <f aca="false">" -  "&amp;O26&amp;AN26</f>
        <v>-  Z</v>
      </c>
      <c r="AB26" s="51" t="str">
        <f aca="false">IFERROR(VLOOKUP(WEEKDAY(AC26),Static!$AL$3:$AM$11,2,0),"")</f>
        <v/>
      </c>
      <c r="AC26" s="49" t="str">
        <f aca="false">IF(AI26&lt;&gt;"",AI26,AV26)</f>
        <v/>
      </c>
      <c r="AD26" s="54"/>
      <c r="AE26" s="54"/>
      <c r="AF26" s="55"/>
      <c r="AG26" s="56"/>
      <c r="AH26" s="56"/>
      <c r="AI26" s="54"/>
      <c r="AJ26" s="54"/>
      <c r="AK26" s="57"/>
      <c r="AL26" s="54"/>
      <c r="AM26" s="54"/>
      <c r="AN26" s="54"/>
      <c r="AO26" s="58"/>
      <c r="AP26" s="56"/>
      <c r="AQ26" s="58"/>
      <c r="AR26" s="51" t="n">
        <f aca="false">SUM(F26:I26)</f>
        <v>0</v>
      </c>
      <c r="AS26" s="59" t="n">
        <f aca="false">IF(AG26="",1,IF(K26&lt;&gt;0,(G26*0.5+J26)/K26,1))</f>
        <v>1</v>
      </c>
      <c r="AT26" s="60" t="str">
        <f aca="false">IF(AP26="","",IF(ISERROR(FIND(CHAR(10),AP26,1)),AP26,LEFT(AP26,FIND(CHAR(10),AP26,1))))</f>
        <v/>
      </c>
      <c r="AU26" s="61" t="str">
        <f aca="false">IF(AP26="","",IFERROR(RIGHT(AP26,LEN(AP26)-FIND("@@@",SUBSTITUTE(AP26,CHAR(10),"@@@",LEN(AP26)-LEN(SUBSTITUTE(AP26,CHAR(10),""))),1)),AP26))</f>
        <v/>
      </c>
      <c r="AV26" s="62" t="str">
        <f aca="false">IFERROR(DATE(("20"&amp;MID(AT26,7,2))*1,MID(AT26,4,2)*1,MID(AT26,1,2)*1),"")</f>
        <v/>
      </c>
      <c r="AW26" s="62" t="str">
        <f aca="false">IFERROR(DATE(("20"&amp;MID(AU26,7,2))*1,MID(AU26,4,2)*1,MID(AU26,1,2)*1),"")</f>
        <v/>
      </c>
      <c r="AX26" s="56" t="s">
        <v>450</v>
      </c>
    </row>
    <row r="27" customFormat="false" ht="12.75" hidden="false" customHeight="true" outlineLevel="0" collapsed="false">
      <c r="A27" s="63"/>
      <c r="B27" s="49" t="str">
        <f aca="false">IF(AL27="","tbc",AL27)</f>
        <v>tbc</v>
      </c>
      <c r="C27" s="49" t="str">
        <f aca="false">IF(AM27="","VNT",AM27)</f>
        <v>VNT</v>
      </c>
      <c r="D27" s="49" t="n">
        <f aca="false">MAX(AC27,IF(AW27="none",AC27,AW27))</f>
        <v>0</v>
      </c>
      <c r="E27" s="50" t="n">
        <f aca="false">IFERROR(DAYS360(AC27,D27),0)</f>
        <v>0</v>
      </c>
      <c r="F27" s="50" t="n">
        <f aca="false">((LEN($AQ27)-LEN(SUBSTITUTE($AQ27,CHAR(10)&amp;". ","")))/3)+IF(LEFT(TRIM($AQ27),2)=". ",1,0)</f>
        <v>0</v>
      </c>
      <c r="G27" s="50" t="n">
        <f aca="false">((LEN($AQ27)-LEN(SUBSTITUTE($AQ27,CHAR(10)&amp;"/ ","")))/3)+IF(LEFT(TRIM($AQ27),2)="/ ",1,0)</f>
        <v>0</v>
      </c>
      <c r="H27" s="50" t="n">
        <f aca="false">((LEN($AQ27)-LEN(SUBSTITUTE($AQ27,CHAR(10)&amp;"~ ","")))/3)+IF(LEFT(TRIM($AQ27),2)="~ ",1,0)</f>
        <v>0</v>
      </c>
      <c r="I27" s="50" t="n">
        <f aca="false">((LEN($AQ27)-LEN(SUBSTITUTE($AQ27,CHAR(10)&amp;"! ","")))/3)+IF(LEFT(TRIM($AQ27),2)="! ",1,0)</f>
        <v>0</v>
      </c>
      <c r="J27" s="50" t="n">
        <f aca="false">((LEN($AQ27)-LEN(SUBSTITUTE($AQ27,CHAR(10)&amp;"x ","")))/3)+IF(LEFT(TRIM($AQ27),2)="x ",1,0)</f>
        <v>0</v>
      </c>
      <c r="K27" s="50" t="n">
        <f aca="false">SUM(F27:J27)</f>
        <v>0</v>
      </c>
      <c r="L27" s="51" t="n">
        <f aca="false">YEAR(D27)</f>
        <v>1899</v>
      </c>
      <c r="M27" s="51" t="str">
        <f aca="false">VLOOKUP(MONTH(D27),Static!$AJ$3:$AK$16,2,0)</f>
        <v>Dec</v>
      </c>
      <c r="N27" s="51" t="n">
        <f aca="false">WEEKNUM(D27,1)</f>
        <v>52</v>
      </c>
      <c r="O27" s="51" t="str">
        <f aca="false">IFERROR(INDEX(Static!$I$5:$L$15,MATCH(AF27,Static!$I$5:$I$15,0),3),"Z")</f>
        <v>Z</v>
      </c>
      <c r="P27" s="51" t="str">
        <f aca="false">IFERROR(INDEX(#REF!,MATCH(AN27,#REF!,0),3),"Z")</f>
        <v>Z</v>
      </c>
      <c r="Q27" s="51" t="str">
        <f aca="false">IFERROR(INDEX(Static!$I$5:$L$15,MATCH(AF27,Static!$I$5:$I$15,0),2),"Y")</f>
        <v>Y</v>
      </c>
      <c r="R27" s="51" t="str">
        <f aca="false">IFERROR(INDEX(Static!$I$5:$L$15,MATCH(AF27,Static!$I$5:$I$15,0),4),"Y")</f>
        <v>Y</v>
      </c>
      <c r="S27" s="51" t="str">
        <f aca="false">IF(AND(AJ27&lt;&gt;"",T27="N",$A$1&gt;=AJ27-(7*$D$2)),"Y","N")</f>
        <v>N</v>
      </c>
      <c r="T27" s="51" t="str">
        <f aca="false">IF(AND(AJ27&lt;&gt;"",$A$1&gt;=AJ27),"Y","N")</f>
        <v>N</v>
      </c>
      <c r="U27" s="51" t="str">
        <f aca="false">IF(D27&gt;(($A$1-WEEKDAY($A$1,2))-7*$D$2),"Y","N")</f>
        <v>N</v>
      </c>
      <c r="V27" s="49" t="str">
        <f aca="false">IF(AR27&gt;0,"Y","N")</f>
        <v>N</v>
      </c>
      <c r="W27" s="51" t="str">
        <f aca="false">IF(AND(U27="Y",V27="N"),"Y","N")</f>
        <v>N</v>
      </c>
      <c r="X27" s="52" t="str">
        <f aca="false">IF(OR(S27="Y",AND(V27="Y",T27="Y"), $A$1=AJ27),"Y","N")</f>
        <v>N</v>
      </c>
      <c r="Y27" s="49" t="str">
        <f aca="false">IF(OR(AD27="Y",AD27="N"),AD27,IF(AND(R27="Y", OR(U27="Y",W27="Y", X27="Y")),"Y","N"))</f>
        <v>N</v>
      </c>
      <c r="Z27" s="51" t="str">
        <f aca="false">IF(OR(Q27="Y", V27="Y",X27="Y"),"Y","N")</f>
        <v>Y</v>
      </c>
      <c r="AA27" s="53" t="str">
        <f aca="false">" -  "&amp;O27&amp;AN27</f>
        <v>-  Z</v>
      </c>
      <c r="AB27" s="51" t="str">
        <f aca="false">IFERROR(VLOOKUP(WEEKDAY(AC27),Static!$AL$3:$AM$11,2,0),"")</f>
        <v/>
      </c>
      <c r="AC27" s="49" t="str">
        <f aca="false">IF(AI27&lt;&gt;"",AI27,AV27)</f>
        <v/>
      </c>
      <c r="AD27" s="54"/>
      <c r="AE27" s="54"/>
      <c r="AF27" s="55"/>
      <c r="AG27" s="56"/>
      <c r="AH27" s="56"/>
      <c r="AI27" s="54"/>
      <c r="AJ27" s="54"/>
      <c r="AK27" s="57"/>
      <c r="AL27" s="54"/>
      <c r="AM27" s="54"/>
      <c r="AN27" s="54"/>
      <c r="AO27" s="58"/>
      <c r="AP27" s="56"/>
      <c r="AQ27" s="58"/>
      <c r="AR27" s="51" t="n">
        <f aca="false">SUM(F27:I27)</f>
        <v>0</v>
      </c>
      <c r="AS27" s="59" t="n">
        <f aca="false">IF(AG27="",1,IF(K27&lt;&gt;0,(G27*0.5+J27)/K27,1))</f>
        <v>1</v>
      </c>
      <c r="AT27" s="60" t="str">
        <f aca="false">IF(AP27="","",IF(ISERROR(FIND(CHAR(10),AP27,1)),AP27,LEFT(AP27,FIND(CHAR(10),AP27,1))))</f>
        <v/>
      </c>
      <c r="AU27" s="61" t="str">
        <f aca="false">IF(AP27="","",IFERROR(RIGHT(AP27,LEN(AP27)-FIND("@@@",SUBSTITUTE(AP27,CHAR(10),"@@@",LEN(AP27)-LEN(SUBSTITUTE(AP27,CHAR(10),""))),1)),AP27))</f>
        <v/>
      </c>
      <c r="AV27" s="62" t="str">
        <f aca="false">IFERROR(DATE(("20"&amp;MID(AT27,7,2))*1,MID(AT27,4,2)*1,MID(AT27,1,2)*1),"")</f>
        <v/>
      </c>
      <c r="AW27" s="62" t="str">
        <f aca="false">IFERROR(DATE(("20"&amp;MID(AU27,7,2))*1,MID(AU27,4,2)*1,MID(AU27,1,2)*1),"")</f>
        <v/>
      </c>
      <c r="AX27" s="56" t="s">
        <v>450</v>
      </c>
    </row>
    <row r="28" customFormat="false" ht="12.75" hidden="false" customHeight="true" outlineLevel="0" collapsed="false">
      <c r="B28" s="49" t="str">
        <f aca="false">IF(AL28="","tbc",AL28)</f>
        <v>tbc</v>
      </c>
      <c r="C28" s="49" t="str">
        <f aca="false">IF(AM28="","VNT",AM28)</f>
        <v>VNT</v>
      </c>
      <c r="D28" s="49" t="n">
        <f aca="false">MAX(AC28,IF(AW28="none",AC28,AW28))</f>
        <v>0</v>
      </c>
      <c r="E28" s="50" t="n">
        <f aca="false">IFERROR(DAYS360(AC28,D28),0)</f>
        <v>0</v>
      </c>
      <c r="F28" s="50" t="n">
        <f aca="false">((LEN($AQ28)-LEN(SUBSTITUTE($AQ28,CHAR(10)&amp;". ","")))/3)+IF(LEFT(TRIM($AQ28),2)=". ",1,0)</f>
        <v>0</v>
      </c>
      <c r="G28" s="50" t="n">
        <f aca="false">((LEN($AQ28)-LEN(SUBSTITUTE($AQ28,CHAR(10)&amp;"/ ","")))/3)+IF(LEFT(TRIM($AQ28),2)="/ ",1,0)</f>
        <v>0</v>
      </c>
      <c r="H28" s="50" t="n">
        <f aca="false">((LEN($AQ28)-LEN(SUBSTITUTE($AQ28,CHAR(10)&amp;"~ ","")))/3)+IF(LEFT(TRIM($AQ28),2)="~ ",1,0)</f>
        <v>0</v>
      </c>
      <c r="I28" s="50" t="n">
        <f aca="false">((LEN($AQ28)-LEN(SUBSTITUTE($AQ28,CHAR(10)&amp;"! ","")))/3)+IF(LEFT(TRIM($AQ28),2)="! ",1,0)</f>
        <v>0</v>
      </c>
      <c r="J28" s="50" t="n">
        <f aca="false">((LEN($AQ28)-LEN(SUBSTITUTE($AQ28,CHAR(10)&amp;"x ","")))/3)+IF(LEFT(TRIM($AQ28),2)="x ",1,0)</f>
        <v>0</v>
      </c>
      <c r="K28" s="50" t="n">
        <f aca="false">SUM(F28:J28)</f>
        <v>0</v>
      </c>
      <c r="L28" s="51" t="n">
        <f aca="false">YEAR(D28)</f>
        <v>1899</v>
      </c>
      <c r="M28" s="51" t="str">
        <f aca="false">VLOOKUP(MONTH(D28),Static!$AJ$3:$AK$16,2,0)</f>
        <v>Dec</v>
      </c>
      <c r="N28" s="51" t="n">
        <f aca="false">WEEKNUM(D28,1)</f>
        <v>52</v>
      </c>
      <c r="O28" s="51" t="str">
        <f aca="false">IFERROR(INDEX(Static!$I$5:$L$15,MATCH(AF28,Static!$I$5:$I$15,0),3),"Z")</f>
        <v>Z</v>
      </c>
      <c r="P28" s="51" t="str">
        <f aca="false">IFERROR(INDEX(#REF!,MATCH(AN28,#REF!,0),3),"Z")</f>
        <v>Z</v>
      </c>
      <c r="Q28" s="51" t="str">
        <f aca="false">IFERROR(INDEX(Static!$I$5:$L$15,MATCH(AF28,Static!$I$5:$I$15,0),2),"Y")</f>
        <v>Y</v>
      </c>
      <c r="R28" s="51" t="str">
        <f aca="false">IFERROR(INDEX(Static!$I$5:$L$15,MATCH(AF28,Static!$I$5:$I$15,0),4),"Y")</f>
        <v>Y</v>
      </c>
      <c r="S28" s="51" t="str">
        <f aca="false">IF(AND(AJ28&lt;&gt;"",T28="N",$A$1&gt;=AJ28-(7*$D$2)),"Y","N")</f>
        <v>N</v>
      </c>
      <c r="T28" s="51" t="str">
        <f aca="false">IF(AND(AJ28&lt;&gt;"",$A$1&gt;=AJ28),"Y","N")</f>
        <v>N</v>
      </c>
      <c r="U28" s="51" t="str">
        <f aca="false">IF(D28&gt;(($A$1-WEEKDAY($A$1,2))-7*$D$2),"Y","N")</f>
        <v>N</v>
      </c>
      <c r="V28" s="49" t="str">
        <f aca="false">IF(AR28&gt;0,"Y","N")</f>
        <v>N</v>
      </c>
      <c r="W28" s="51" t="str">
        <f aca="false">IF(AND(U28="Y",V28="N"),"Y","N")</f>
        <v>N</v>
      </c>
      <c r="X28" s="52" t="str">
        <f aca="false">IF(OR(S28="Y",AND(V28="Y",T28="Y"), $A$1=AJ28),"Y","N")</f>
        <v>N</v>
      </c>
      <c r="Y28" s="49" t="str">
        <f aca="false">IF(OR(AD28="Y",AD28="N"),AD28,IF(AND(R28="Y", OR(U28="Y",W28="Y", X28="Y")),"Y","N"))</f>
        <v>N</v>
      </c>
      <c r="Z28" s="51" t="str">
        <f aca="false">IF(OR(Q28="Y", V28="Y",X28="Y"),"Y","N")</f>
        <v>Y</v>
      </c>
      <c r="AA28" s="53" t="str">
        <f aca="false">" -  "&amp;O28&amp;AN28</f>
        <v>-  Z</v>
      </c>
      <c r="AB28" s="51" t="str">
        <f aca="false">IFERROR(VLOOKUP(WEEKDAY(AC28),Static!$AL$3:$AM$11,2,0),"")</f>
        <v/>
      </c>
      <c r="AC28" s="49" t="str">
        <f aca="false">IF(AI28&lt;&gt;"",AI28,AV28)</f>
        <v/>
      </c>
      <c r="AD28" s="54"/>
      <c r="AE28" s="54"/>
      <c r="AF28" s="55"/>
      <c r="AG28" s="56"/>
      <c r="AH28" s="56"/>
      <c r="AI28" s="54"/>
      <c r="AJ28" s="54"/>
      <c r="AK28" s="57"/>
      <c r="AL28" s="54"/>
      <c r="AM28" s="54"/>
      <c r="AN28" s="54"/>
      <c r="AO28" s="58"/>
      <c r="AP28" s="58"/>
      <c r="AQ28" s="58"/>
      <c r="AR28" s="51" t="n">
        <f aca="false">SUM(F28:I28)</f>
        <v>0</v>
      </c>
      <c r="AS28" s="59" t="n">
        <f aca="false">IF(AG28="",1,IF(K28&lt;&gt;0,(G28*0.5+J28)/K28,1))</f>
        <v>1</v>
      </c>
      <c r="AT28" s="60" t="str">
        <f aca="false">IF(AP28="","",IF(ISERROR(FIND(CHAR(10),AP28,1)),AP28,LEFT(AP28,FIND(CHAR(10),AP28,1))))</f>
        <v/>
      </c>
      <c r="AU28" s="61" t="str">
        <f aca="false">IF(AP28="","",IFERROR(RIGHT(AP28,LEN(AP28)-FIND("@@@",SUBSTITUTE(AP28,CHAR(10),"@@@",LEN(AP28)-LEN(SUBSTITUTE(AP28,CHAR(10),""))),1)),AP28))</f>
        <v/>
      </c>
      <c r="AV28" s="62" t="str">
        <f aca="false">IFERROR(DATE(("20"&amp;MID(AT28,7,2))*1,MID(AT28,4,2)*1,MID(AT28,1,2)*1),"")</f>
        <v/>
      </c>
      <c r="AW28" s="62" t="str">
        <f aca="false">IFERROR(DATE(("20"&amp;MID(AU28,7,2))*1,MID(AU28,4,2)*1,MID(AU28,1,2)*1),"")</f>
        <v/>
      </c>
      <c r="AX28" s="56" t="s">
        <v>450</v>
      </c>
    </row>
    <row r="29" customFormat="false" ht="12.75" hidden="false" customHeight="true" outlineLevel="0" collapsed="false">
      <c r="A29" s="63"/>
      <c r="B29" s="49" t="str">
        <f aca="false">IF(AL29="","tbc",AL29)</f>
        <v>tbc</v>
      </c>
      <c r="C29" s="49" t="str">
        <f aca="false">IF(AM29="","VNT",AM29)</f>
        <v>VNT</v>
      </c>
      <c r="D29" s="49" t="n">
        <f aca="false">MAX(AC29,IF(AW29="none",AC29,AW29))</f>
        <v>0</v>
      </c>
      <c r="E29" s="50" t="n">
        <f aca="false">IFERROR(DAYS360(AC29,D29),0)</f>
        <v>0</v>
      </c>
      <c r="F29" s="50" t="n">
        <f aca="false">((LEN($AQ29)-LEN(SUBSTITUTE($AQ29,CHAR(10)&amp;". ","")))/3)+IF(LEFT(TRIM($AQ29),2)=". ",1,0)</f>
        <v>0</v>
      </c>
      <c r="G29" s="50" t="n">
        <f aca="false">((LEN($AQ29)-LEN(SUBSTITUTE($AQ29,CHAR(10)&amp;"/ ","")))/3)+IF(LEFT(TRIM($AQ29),2)="/ ",1,0)</f>
        <v>0</v>
      </c>
      <c r="H29" s="50" t="n">
        <f aca="false">((LEN($AQ29)-LEN(SUBSTITUTE($AQ29,CHAR(10)&amp;"~ ","")))/3)+IF(LEFT(TRIM($AQ29),2)="~ ",1,0)</f>
        <v>0</v>
      </c>
      <c r="I29" s="50" t="n">
        <f aca="false">((LEN($AQ29)-LEN(SUBSTITUTE($AQ29,CHAR(10)&amp;"! ","")))/3)+IF(LEFT(TRIM($AQ29),2)="! ",1,0)</f>
        <v>0</v>
      </c>
      <c r="J29" s="50" t="n">
        <f aca="false">((LEN($AQ29)-LEN(SUBSTITUTE($AQ29,CHAR(10)&amp;"x ","")))/3)+IF(LEFT(TRIM($AQ29),2)="x ",1,0)</f>
        <v>0</v>
      </c>
      <c r="K29" s="50" t="n">
        <f aca="false">SUM(F29:J29)</f>
        <v>0</v>
      </c>
      <c r="L29" s="51" t="n">
        <f aca="false">YEAR(D29)</f>
        <v>1899</v>
      </c>
      <c r="M29" s="51" t="str">
        <f aca="false">VLOOKUP(MONTH(D29),Static!$AJ$3:$AK$16,2,0)</f>
        <v>Dec</v>
      </c>
      <c r="N29" s="51" t="n">
        <f aca="false">WEEKNUM(D29,1)</f>
        <v>52</v>
      </c>
      <c r="O29" s="51" t="str">
        <f aca="false">IFERROR(INDEX(Static!$I$5:$L$15,MATCH(AF29,Static!$I$5:$I$15,0),3),"Z")</f>
        <v>Z</v>
      </c>
      <c r="P29" s="51" t="str">
        <f aca="false">IFERROR(INDEX(#REF!,MATCH(AN29,#REF!,0),3),"Z")</f>
        <v>Z</v>
      </c>
      <c r="Q29" s="51" t="str">
        <f aca="false">IFERROR(INDEX(Static!$I$5:$L$15,MATCH(AF29,Static!$I$5:$I$15,0),2),"Y")</f>
        <v>Y</v>
      </c>
      <c r="R29" s="51" t="str">
        <f aca="false">IFERROR(INDEX(Static!$I$5:$L$15,MATCH(AF29,Static!$I$5:$I$15,0),4),"Y")</f>
        <v>Y</v>
      </c>
      <c r="S29" s="51" t="str">
        <f aca="false">IF(AND(AJ29&lt;&gt;"",T29="N",$A$1&gt;=AJ29-(7*$D$2)),"Y","N")</f>
        <v>N</v>
      </c>
      <c r="T29" s="51" t="str">
        <f aca="false">IF(AND(AJ29&lt;&gt;"",$A$1&gt;=AJ29),"Y","N")</f>
        <v>N</v>
      </c>
      <c r="U29" s="51" t="str">
        <f aca="false">IF(D29&gt;(($A$1-WEEKDAY($A$1,2))-7*$D$2),"Y","N")</f>
        <v>N</v>
      </c>
      <c r="V29" s="49" t="str">
        <f aca="false">IF(AR29&gt;0,"Y","N")</f>
        <v>N</v>
      </c>
      <c r="W29" s="51" t="str">
        <f aca="false">IF(AND(U29="Y",V29="N"),"Y","N")</f>
        <v>N</v>
      </c>
      <c r="X29" s="52" t="str">
        <f aca="false">IF(OR(S29="Y",AND(V29="Y",T29="Y"), $A$1=AJ29),"Y","N")</f>
        <v>N</v>
      </c>
      <c r="Y29" s="49" t="str">
        <f aca="false">IF(OR(AD29="Y",AD29="N"),AD29,IF(AND(R29="Y", OR(U29="Y",W29="Y", X29="Y")),"Y","N"))</f>
        <v>N</v>
      </c>
      <c r="Z29" s="51" t="str">
        <f aca="false">IF(OR(Q29="Y", V29="Y",X29="Y"),"Y","N")</f>
        <v>Y</v>
      </c>
      <c r="AA29" s="53" t="str">
        <f aca="false">" -  "&amp;O29&amp;AN29</f>
        <v>-  Z</v>
      </c>
      <c r="AB29" s="51" t="str">
        <f aca="false">IFERROR(VLOOKUP(WEEKDAY(AC29),Static!$AL$3:$AM$11,2,0),"")</f>
        <v/>
      </c>
      <c r="AC29" s="49" t="str">
        <f aca="false">IF(AI29&lt;&gt;"",AI29,AV29)</f>
        <v/>
      </c>
      <c r="AD29" s="54"/>
      <c r="AE29" s="54"/>
      <c r="AF29" s="55"/>
      <c r="AG29" s="56"/>
      <c r="AH29" s="56"/>
      <c r="AI29" s="54"/>
      <c r="AJ29" s="54"/>
      <c r="AK29" s="57"/>
      <c r="AL29" s="54"/>
      <c r="AM29" s="54"/>
      <c r="AN29" s="54"/>
      <c r="AO29" s="58"/>
      <c r="AP29" s="56"/>
      <c r="AQ29" s="58"/>
      <c r="AR29" s="51" t="n">
        <f aca="false">SUM(F29:I29)</f>
        <v>0</v>
      </c>
      <c r="AS29" s="59" t="n">
        <f aca="false">IF(AG29="",1,IF(K29&lt;&gt;0,(G29*0.5+J29)/K29,1))</f>
        <v>1</v>
      </c>
      <c r="AT29" s="60" t="str">
        <f aca="false">IF(AP29="","",IF(ISERROR(FIND(CHAR(10),AP29,1)),AP29,LEFT(AP29,FIND(CHAR(10),AP29,1))))</f>
        <v/>
      </c>
      <c r="AU29" s="61" t="str">
        <f aca="false">IF(AP29="","",IFERROR(RIGHT(AP29,LEN(AP29)-FIND("@@@",SUBSTITUTE(AP29,CHAR(10),"@@@",LEN(AP29)-LEN(SUBSTITUTE(AP29,CHAR(10),""))),1)),AP29))</f>
        <v/>
      </c>
      <c r="AV29" s="62" t="str">
        <f aca="false">IFERROR(DATE(("20"&amp;MID(AT29,7,2))*1,MID(AT29,4,2)*1,MID(AT29,1,2)*1),"")</f>
        <v/>
      </c>
      <c r="AW29" s="62" t="str">
        <f aca="false">IFERROR(DATE(("20"&amp;MID(AU29,7,2))*1,MID(AU29,4,2)*1,MID(AU29,1,2)*1),"")</f>
        <v/>
      </c>
      <c r="AX29" s="56" t="s">
        <v>450</v>
      </c>
    </row>
    <row r="30" customFormat="false" ht="12.75" hidden="false" customHeight="true" outlineLevel="0" collapsed="false">
      <c r="A30" s="63"/>
      <c r="B30" s="49" t="str">
        <f aca="false">IF(AL30="","tbc",AL30)</f>
        <v>tbc</v>
      </c>
      <c r="C30" s="49" t="str">
        <f aca="false">IF(AM30="","VNT",AM30)</f>
        <v>VNT</v>
      </c>
      <c r="D30" s="49" t="n">
        <f aca="false">MAX(AC30,IF(AW30="none",AC30,AW30))</f>
        <v>0</v>
      </c>
      <c r="E30" s="50" t="n">
        <f aca="false">IFERROR(DAYS360(AC30,D30),0)</f>
        <v>0</v>
      </c>
      <c r="F30" s="50" t="n">
        <f aca="false">((LEN($AQ30)-LEN(SUBSTITUTE($AQ30,CHAR(10)&amp;". ","")))/3)+IF(LEFT(TRIM($AQ30),2)=". ",1,0)</f>
        <v>0</v>
      </c>
      <c r="G30" s="50" t="n">
        <f aca="false">((LEN($AQ30)-LEN(SUBSTITUTE($AQ30,CHAR(10)&amp;"/ ","")))/3)+IF(LEFT(TRIM($AQ30),2)="/ ",1,0)</f>
        <v>0</v>
      </c>
      <c r="H30" s="50" t="n">
        <f aca="false">((LEN($AQ30)-LEN(SUBSTITUTE($AQ30,CHAR(10)&amp;"~ ","")))/3)+IF(LEFT(TRIM($AQ30),2)="~ ",1,0)</f>
        <v>0</v>
      </c>
      <c r="I30" s="50" t="n">
        <f aca="false">((LEN($AQ30)-LEN(SUBSTITUTE($AQ30,CHAR(10)&amp;"! ","")))/3)+IF(LEFT(TRIM($AQ30),2)="! ",1,0)</f>
        <v>0</v>
      </c>
      <c r="J30" s="50" t="n">
        <f aca="false">((LEN($AQ30)-LEN(SUBSTITUTE($AQ30,CHAR(10)&amp;"x ","")))/3)+IF(LEFT(TRIM($AQ30),2)="x ",1,0)</f>
        <v>0</v>
      </c>
      <c r="K30" s="50" t="n">
        <f aca="false">SUM(F30:J30)</f>
        <v>0</v>
      </c>
      <c r="L30" s="51" t="n">
        <f aca="false">YEAR(D30)</f>
        <v>1899</v>
      </c>
      <c r="M30" s="51" t="str">
        <f aca="false">VLOOKUP(MONTH(D30),Static!$AJ$3:$AK$16,2,0)</f>
        <v>Dec</v>
      </c>
      <c r="N30" s="51" t="n">
        <f aca="false">WEEKNUM(D30,1)</f>
        <v>52</v>
      </c>
      <c r="O30" s="51" t="str">
        <f aca="false">IFERROR(INDEX(Static!$I$5:$L$15,MATCH(AF30,Static!$I$5:$I$15,0),3),"Z")</f>
        <v>Z</v>
      </c>
      <c r="P30" s="51" t="str">
        <f aca="false">IFERROR(INDEX(#REF!,MATCH(AN30,#REF!,0),3),"Z")</f>
        <v>Z</v>
      </c>
      <c r="Q30" s="51" t="str">
        <f aca="false">IFERROR(INDEX(Static!$I$5:$L$15,MATCH(AF30,Static!$I$5:$I$15,0),2),"Y")</f>
        <v>Y</v>
      </c>
      <c r="R30" s="51" t="str">
        <f aca="false">IFERROR(INDEX(Static!$I$5:$L$15,MATCH(AF30,Static!$I$5:$I$15,0),4),"Y")</f>
        <v>Y</v>
      </c>
      <c r="S30" s="51" t="str">
        <f aca="false">IF(AND(AJ30&lt;&gt;"",T30="N",$A$1&gt;=AJ30-(7*$D$2)),"Y","N")</f>
        <v>N</v>
      </c>
      <c r="T30" s="51" t="str">
        <f aca="false">IF(AND(AJ30&lt;&gt;"",$A$1&gt;=AJ30),"Y","N")</f>
        <v>N</v>
      </c>
      <c r="U30" s="51" t="str">
        <f aca="false">IF(D30&gt;(($A$1-WEEKDAY($A$1,2))-7*$D$2),"Y","N")</f>
        <v>N</v>
      </c>
      <c r="V30" s="49" t="str">
        <f aca="false">IF(AR30&gt;0,"Y","N")</f>
        <v>N</v>
      </c>
      <c r="W30" s="51" t="str">
        <f aca="false">IF(AND(U30="Y",V30="N"),"Y","N")</f>
        <v>N</v>
      </c>
      <c r="X30" s="52" t="str">
        <f aca="false">IF(OR(S30="Y",AND(V30="Y",T30="Y"), $A$1=AJ30),"Y","N")</f>
        <v>N</v>
      </c>
      <c r="Y30" s="49" t="str">
        <f aca="false">IF(OR(AD30="Y",AD30="N"),AD30,IF(AND(R30="Y", OR(U30="Y",W30="Y", X30="Y")),"Y","N"))</f>
        <v>N</v>
      </c>
      <c r="Z30" s="51" t="str">
        <f aca="false">IF(OR(Q30="Y", V30="Y",X30="Y"),"Y","N")</f>
        <v>Y</v>
      </c>
      <c r="AA30" s="53" t="str">
        <f aca="false">" -  "&amp;O30&amp;AN30</f>
        <v>-  Z</v>
      </c>
      <c r="AB30" s="51" t="str">
        <f aca="false">IFERROR(VLOOKUP(WEEKDAY(AC30),Static!$AL$3:$AM$11,2,0),"")</f>
        <v/>
      </c>
      <c r="AC30" s="49" t="str">
        <f aca="false">IF(AI30&lt;&gt;"",AI30,AV30)</f>
        <v/>
      </c>
      <c r="AD30" s="54"/>
      <c r="AE30" s="54"/>
      <c r="AF30" s="55"/>
      <c r="AG30" s="56"/>
      <c r="AH30" s="56"/>
      <c r="AI30" s="54"/>
      <c r="AJ30" s="54"/>
      <c r="AK30" s="57"/>
      <c r="AL30" s="54"/>
      <c r="AM30" s="54"/>
      <c r="AN30" s="54"/>
      <c r="AO30" s="58"/>
      <c r="AP30" s="56"/>
      <c r="AQ30" s="58"/>
      <c r="AR30" s="51" t="n">
        <f aca="false">SUM(F30:I30)</f>
        <v>0</v>
      </c>
      <c r="AS30" s="59" t="n">
        <f aca="false">IF(AG30="",1,IF(K30&lt;&gt;0,(G30*0.5+J30)/K30,1))</f>
        <v>1</v>
      </c>
      <c r="AT30" s="60" t="str">
        <f aca="false">IF(AP30="","",IF(ISERROR(FIND(CHAR(10),AP30,1)),AP30,LEFT(AP30,FIND(CHAR(10),AP30,1))))</f>
        <v/>
      </c>
      <c r="AU30" s="61" t="str">
        <f aca="false">IF(AP30="","",IFERROR(RIGHT(AP30,LEN(AP30)-FIND("@@@",SUBSTITUTE(AP30,CHAR(10),"@@@",LEN(AP30)-LEN(SUBSTITUTE(AP30,CHAR(10),""))),1)),AP30))</f>
        <v/>
      </c>
      <c r="AV30" s="62" t="str">
        <f aca="false">IFERROR(DATE(("20"&amp;MID(AT30,7,2))*1,MID(AT30,4,2)*1,MID(AT30,1,2)*1),"")</f>
        <v/>
      </c>
      <c r="AW30" s="62" t="str">
        <f aca="false">IFERROR(DATE(("20"&amp;MID(AU30,7,2))*1,MID(AU30,4,2)*1,MID(AU30,1,2)*1),"")</f>
        <v/>
      </c>
      <c r="AX30" s="56" t="s">
        <v>450</v>
      </c>
    </row>
    <row r="31" customFormat="false" ht="12.75" hidden="false" customHeight="true" outlineLevel="0" collapsed="false">
      <c r="A31" s="63"/>
      <c r="B31" s="49" t="str">
        <f aca="false">IF(AL31="","tbc",AL31)</f>
        <v>tbc</v>
      </c>
      <c r="C31" s="49" t="str">
        <f aca="false">IF(AM31="","VNT",AM31)</f>
        <v>VNT</v>
      </c>
      <c r="D31" s="49" t="n">
        <f aca="false">MAX(AC31,IF(AW31="none",AC31,AW31))</f>
        <v>0</v>
      </c>
      <c r="E31" s="50" t="n">
        <f aca="false">IFERROR(DAYS360(AC31,D31),0)</f>
        <v>0</v>
      </c>
      <c r="F31" s="50" t="n">
        <f aca="false">((LEN($AQ31)-LEN(SUBSTITUTE($AQ31,CHAR(10)&amp;". ","")))/3)+IF(LEFT(TRIM($AQ31),2)=". ",1,0)</f>
        <v>0</v>
      </c>
      <c r="G31" s="50" t="n">
        <f aca="false">((LEN($AQ31)-LEN(SUBSTITUTE($AQ31,CHAR(10)&amp;"/ ","")))/3)+IF(LEFT(TRIM($AQ31),2)="/ ",1,0)</f>
        <v>0</v>
      </c>
      <c r="H31" s="50" t="n">
        <f aca="false">((LEN($AQ31)-LEN(SUBSTITUTE($AQ31,CHAR(10)&amp;"~ ","")))/3)+IF(LEFT(TRIM($AQ31),2)="~ ",1,0)</f>
        <v>0</v>
      </c>
      <c r="I31" s="50" t="n">
        <f aca="false">((LEN($AQ31)-LEN(SUBSTITUTE($AQ31,CHAR(10)&amp;"! ","")))/3)+IF(LEFT(TRIM($AQ31),2)="! ",1,0)</f>
        <v>0</v>
      </c>
      <c r="J31" s="50" t="n">
        <f aca="false">((LEN($AQ31)-LEN(SUBSTITUTE($AQ31,CHAR(10)&amp;"x ","")))/3)+IF(LEFT(TRIM($AQ31),2)="x ",1,0)</f>
        <v>0</v>
      </c>
      <c r="K31" s="50" t="n">
        <f aca="false">SUM(F31:J31)</f>
        <v>0</v>
      </c>
      <c r="L31" s="51" t="n">
        <f aca="false">YEAR(D31)</f>
        <v>1899</v>
      </c>
      <c r="M31" s="51" t="str">
        <f aca="false">VLOOKUP(MONTH(D31),Static!$AJ$3:$AK$16,2,0)</f>
        <v>Dec</v>
      </c>
      <c r="N31" s="51" t="n">
        <f aca="false">WEEKNUM(D31,1)</f>
        <v>52</v>
      </c>
      <c r="O31" s="51" t="str">
        <f aca="false">IFERROR(INDEX(Static!$I$5:$L$15,MATCH(AF31,Static!$I$5:$I$15,0),3),"Z")</f>
        <v>Z</v>
      </c>
      <c r="P31" s="51" t="str">
        <f aca="false">IFERROR(INDEX(#REF!,MATCH(AN31,#REF!,0),3),"Z")</f>
        <v>Z</v>
      </c>
      <c r="Q31" s="51" t="str">
        <f aca="false">IFERROR(INDEX(Static!$I$5:$L$15,MATCH(AF31,Static!$I$5:$I$15,0),2),"Y")</f>
        <v>Y</v>
      </c>
      <c r="R31" s="51" t="str">
        <f aca="false">IFERROR(INDEX(Static!$I$5:$L$15,MATCH(AF31,Static!$I$5:$I$15,0),4),"Y")</f>
        <v>Y</v>
      </c>
      <c r="S31" s="51" t="str">
        <f aca="false">IF(AND(AJ31&lt;&gt;"",T31="N",$A$1&gt;=AJ31-(7*$D$2)),"Y","N")</f>
        <v>N</v>
      </c>
      <c r="T31" s="51" t="str">
        <f aca="false">IF(AND(AJ31&lt;&gt;"",$A$1&gt;=AJ31),"Y","N")</f>
        <v>N</v>
      </c>
      <c r="U31" s="51" t="str">
        <f aca="false">IF(D31&gt;(($A$1-WEEKDAY($A$1,2))-7*$D$2),"Y","N")</f>
        <v>N</v>
      </c>
      <c r="V31" s="49" t="str">
        <f aca="false">IF(AR31&gt;0,"Y","N")</f>
        <v>N</v>
      </c>
      <c r="W31" s="51" t="str">
        <f aca="false">IF(AND(U31="Y",V31="N"),"Y","N")</f>
        <v>N</v>
      </c>
      <c r="X31" s="52" t="str">
        <f aca="false">IF(OR(S31="Y",AND(V31="Y",T31="Y"), $A$1=AJ31),"Y","N")</f>
        <v>N</v>
      </c>
      <c r="Y31" s="49" t="str">
        <f aca="false">IF(OR(AD31="Y",AD31="N"),AD31,IF(AND(R31="Y", OR(U31="Y",W31="Y", X31="Y")),"Y","N"))</f>
        <v>N</v>
      </c>
      <c r="Z31" s="51" t="str">
        <f aca="false">IF(OR(Q31="Y", V31="Y",X31="Y"),"Y","N")</f>
        <v>Y</v>
      </c>
      <c r="AA31" s="53" t="str">
        <f aca="false">" -  "&amp;O31&amp;AN31</f>
        <v>-  Z</v>
      </c>
      <c r="AB31" s="51" t="str">
        <f aca="false">IFERROR(VLOOKUP(WEEKDAY(AC31),Static!$AL$3:$AM$11,2,0),"")</f>
        <v/>
      </c>
      <c r="AC31" s="49" t="str">
        <f aca="false">IF(AI31&lt;&gt;"",AI31,AV31)</f>
        <v/>
      </c>
      <c r="AD31" s="54"/>
      <c r="AE31" s="54"/>
      <c r="AF31" s="55"/>
      <c r="AG31" s="56"/>
      <c r="AH31" s="56"/>
      <c r="AI31" s="54"/>
      <c r="AJ31" s="54"/>
      <c r="AK31" s="57"/>
      <c r="AL31" s="54"/>
      <c r="AM31" s="54"/>
      <c r="AN31" s="54"/>
      <c r="AO31" s="58"/>
      <c r="AP31" s="56"/>
      <c r="AQ31" s="58"/>
      <c r="AR31" s="51" t="n">
        <f aca="false">SUM(F31:I31)</f>
        <v>0</v>
      </c>
      <c r="AS31" s="59" t="n">
        <f aca="false">IF(AG31="",1,IF(K31&lt;&gt;0,(G31*0.5+J31)/K31,1))</f>
        <v>1</v>
      </c>
      <c r="AT31" s="60" t="str">
        <f aca="false">IF(AP31="","",IF(ISERROR(FIND(CHAR(10),AP31,1)),AP31,LEFT(AP31,FIND(CHAR(10),AP31,1))))</f>
        <v/>
      </c>
      <c r="AU31" s="61" t="str">
        <f aca="false">IF(AP31="","",IFERROR(RIGHT(AP31,LEN(AP31)-FIND("@@@",SUBSTITUTE(AP31,CHAR(10),"@@@",LEN(AP31)-LEN(SUBSTITUTE(AP31,CHAR(10),""))),1)),AP31))</f>
        <v/>
      </c>
      <c r="AV31" s="62" t="str">
        <f aca="false">IFERROR(DATE(("20"&amp;MID(AT31,7,2))*1,MID(AT31,4,2)*1,MID(AT31,1,2)*1),"")</f>
        <v/>
      </c>
      <c r="AW31" s="62" t="str">
        <f aca="false">IFERROR(DATE(("20"&amp;MID(AU31,7,2))*1,MID(AU31,4,2)*1,MID(AU31,1,2)*1),"")</f>
        <v/>
      </c>
      <c r="AX31" s="56" t="s">
        <v>450</v>
      </c>
    </row>
    <row r="32" customFormat="false" ht="12.75" hidden="false" customHeight="true" outlineLevel="0" collapsed="false">
      <c r="A32" s="63"/>
      <c r="B32" s="49" t="str">
        <f aca="false">IF(AL32="","tbc",AL32)</f>
        <v>tbc</v>
      </c>
      <c r="C32" s="49" t="str">
        <f aca="false">IF(AM32="","VNT",AM32)</f>
        <v>VNT</v>
      </c>
      <c r="D32" s="49" t="n">
        <f aca="false">MAX(AC32,IF(AW32="none",AC32,AW32))</f>
        <v>0</v>
      </c>
      <c r="E32" s="50" t="n">
        <f aca="false">IFERROR(DAYS360(AC32,D32),0)</f>
        <v>0</v>
      </c>
      <c r="F32" s="50" t="n">
        <f aca="false">((LEN($AQ32)-LEN(SUBSTITUTE($AQ32,CHAR(10)&amp;". ","")))/3)+IF(LEFT(TRIM($AQ32),2)=". ",1,0)</f>
        <v>0</v>
      </c>
      <c r="G32" s="50" t="n">
        <f aca="false">((LEN($AQ32)-LEN(SUBSTITUTE($AQ32,CHAR(10)&amp;"/ ","")))/3)+IF(LEFT(TRIM($AQ32),2)="/ ",1,0)</f>
        <v>0</v>
      </c>
      <c r="H32" s="50" t="n">
        <f aca="false">((LEN($AQ32)-LEN(SUBSTITUTE($AQ32,CHAR(10)&amp;"~ ","")))/3)+IF(LEFT(TRIM($AQ32),2)="~ ",1,0)</f>
        <v>0</v>
      </c>
      <c r="I32" s="50" t="n">
        <f aca="false">((LEN($AQ32)-LEN(SUBSTITUTE($AQ32,CHAR(10)&amp;"! ","")))/3)+IF(LEFT(TRIM($AQ32),2)="! ",1,0)</f>
        <v>0</v>
      </c>
      <c r="J32" s="50" t="n">
        <f aca="false">((LEN($AQ32)-LEN(SUBSTITUTE($AQ32,CHAR(10)&amp;"x ","")))/3)+IF(LEFT(TRIM($AQ32),2)="x ",1,0)</f>
        <v>0</v>
      </c>
      <c r="K32" s="50" t="n">
        <f aca="false">SUM(F32:J32)</f>
        <v>0</v>
      </c>
      <c r="L32" s="51" t="n">
        <f aca="false">YEAR(D32)</f>
        <v>1899</v>
      </c>
      <c r="M32" s="51" t="str">
        <f aca="false">VLOOKUP(MONTH(D32),Static!$AJ$3:$AK$16,2,0)</f>
        <v>Dec</v>
      </c>
      <c r="N32" s="51" t="n">
        <f aca="false">WEEKNUM(D32,1)</f>
        <v>52</v>
      </c>
      <c r="O32" s="51" t="str">
        <f aca="false">IFERROR(INDEX(Static!$I$5:$L$15,MATCH(AF32,Static!$I$5:$I$15,0),3),"Z")</f>
        <v>Z</v>
      </c>
      <c r="P32" s="51" t="str">
        <f aca="false">IFERROR(INDEX(#REF!,MATCH(AN32,#REF!,0),3),"Z")</f>
        <v>Z</v>
      </c>
      <c r="Q32" s="51" t="str">
        <f aca="false">IFERROR(INDEX(Static!$I$5:$L$15,MATCH(AF32,Static!$I$5:$I$15,0),2),"Y")</f>
        <v>Y</v>
      </c>
      <c r="R32" s="51" t="str">
        <f aca="false">IFERROR(INDEX(Static!$I$5:$L$15,MATCH(AF32,Static!$I$5:$I$15,0),4),"Y")</f>
        <v>Y</v>
      </c>
      <c r="S32" s="51" t="str">
        <f aca="false">IF(AND(AJ32&lt;&gt;"",T32="N",$A$1&gt;=AJ32-(7*$D$2)),"Y","N")</f>
        <v>N</v>
      </c>
      <c r="T32" s="51" t="str">
        <f aca="false">IF(AND(AJ32&lt;&gt;"",$A$1&gt;=AJ32),"Y","N")</f>
        <v>N</v>
      </c>
      <c r="U32" s="51" t="str">
        <f aca="false">IF(D32&gt;(($A$1-WEEKDAY($A$1,2))-7*$D$2),"Y","N")</f>
        <v>N</v>
      </c>
      <c r="V32" s="49" t="str">
        <f aca="false">IF(AR32&gt;0,"Y","N")</f>
        <v>N</v>
      </c>
      <c r="W32" s="51" t="str">
        <f aca="false">IF(AND(U32="Y",V32="N"),"Y","N")</f>
        <v>N</v>
      </c>
      <c r="X32" s="52" t="str">
        <f aca="false">IF(OR(S32="Y",AND(V32="Y",T32="Y"), $A$1=AJ32),"Y","N")</f>
        <v>N</v>
      </c>
      <c r="Y32" s="49" t="str">
        <f aca="false">IF(OR(AD32="Y",AD32="N"),AD32,IF(AND(R32="Y", OR(U32="Y",W32="Y", X32="Y")),"Y","N"))</f>
        <v>N</v>
      </c>
      <c r="Z32" s="51" t="str">
        <f aca="false">IF(OR(Q32="Y", V32="Y",X32="Y"),"Y","N")</f>
        <v>Y</v>
      </c>
      <c r="AA32" s="53" t="str">
        <f aca="false">" -  "&amp;O32&amp;AN32</f>
        <v>-  Z</v>
      </c>
      <c r="AB32" s="51" t="str">
        <f aca="false">IFERROR(VLOOKUP(WEEKDAY(AC32),Static!$AL$3:$AM$11,2,0),"")</f>
        <v/>
      </c>
      <c r="AC32" s="49" t="str">
        <f aca="false">IF(AI32&lt;&gt;"",AI32,AV32)</f>
        <v/>
      </c>
      <c r="AD32" s="54"/>
      <c r="AE32" s="54"/>
      <c r="AF32" s="55"/>
      <c r="AG32" s="56"/>
      <c r="AH32" s="56"/>
      <c r="AI32" s="54"/>
      <c r="AJ32" s="54"/>
      <c r="AK32" s="57"/>
      <c r="AL32" s="54"/>
      <c r="AM32" s="54"/>
      <c r="AN32" s="54"/>
      <c r="AO32" s="58"/>
      <c r="AP32" s="56"/>
      <c r="AQ32" s="58"/>
      <c r="AR32" s="51" t="n">
        <f aca="false">SUM(F32:I32)</f>
        <v>0</v>
      </c>
      <c r="AS32" s="59" t="n">
        <f aca="false">IF(AG32="",1,IF(K32&lt;&gt;0,(G32*0.5+J32)/K32,1))</f>
        <v>1</v>
      </c>
      <c r="AT32" s="60" t="str">
        <f aca="false">IF(AP32="","",IF(ISERROR(FIND(CHAR(10),AP32,1)),AP32,LEFT(AP32,FIND(CHAR(10),AP32,1))))</f>
        <v/>
      </c>
      <c r="AU32" s="61" t="str">
        <f aca="false">IF(AP32="","",IFERROR(RIGHT(AP32,LEN(AP32)-FIND("@@@",SUBSTITUTE(AP32,CHAR(10),"@@@",LEN(AP32)-LEN(SUBSTITUTE(AP32,CHAR(10),""))),1)),AP32))</f>
        <v/>
      </c>
      <c r="AV32" s="62" t="str">
        <f aca="false">IFERROR(DATE(("20"&amp;MID(AT32,7,2))*1,MID(AT32,4,2)*1,MID(AT32,1,2)*1),"")</f>
        <v/>
      </c>
      <c r="AW32" s="62" t="str">
        <f aca="false">IFERROR(DATE(("20"&amp;MID(AU32,7,2))*1,MID(AU32,4,2)*1,MID(AU32,1,2)*1),"")</f>
        <v/>
      </c>
      <c r="AX32" s="56" t="s">
        <v>450</v>
      </c>
    </row>
    <row r="33" customFormat="false" ht="12.75" hidden="false" customHeight="true" outlineLevel="0" collapsed="false">
      <c r="A33" s="63"/>
      <c r="B33" s="49" t="str">
        <f aca="false">IF(AL33="","tbc",AL33)</f>
        <v>tbc</v>
      </c>
      <c r="C33" s="49" t="str">
        <f aca="false">IF(AM33="","VNT",AM33)</f>
        <v>VNT</v>
      </c>
      <c r="D33" s="49" t="n">
        <f aca="false">MAX(AC33,IF(AW33="none",AC33,AW33))</f>
        <v>0</v>
      </c>
      <c r="E33" s="50" t="n">
        <f aca="false">IFERROR(DAYS360(AC33,D33),0)</f>
        <v>0</v>
      </c>
      <c r="F33" s="50" t="n">
        <f aca="false">((LEN($AQ33)-LEN(SUBSTITUTE($AQ33,CHAR(10)&amp;". ","")))/3)+IF(LEFT(TRIM($AQ33),2)=". ",1,0)</f>
        <v>0</v>
      </c>
      <c r="G33" s="50" t="n">
        <f aca="false">((LEN($AQ33)-LEN(SUBSTITUTE($AQ33,CHAR(10)&amp;"/ ","")))/3)+IF(LEFT(TRIM($AQ33),2)="/ ",1,0)</f>
        <v>0</v>
      </c>
      <c r="H33" s="50" t="n">
        <f aca="false">((LEN($AQ33)-LEN(SUBSTITUTE($AQ33,CHAR(10)&amp;"~ ","")))/3)+IF(LEFT(TRIM($AQ33),2)="~ ",1,0)</f>
        <v>0</v>
      </c>
      <c r="I33" s="50" t="n">
        <f aca="false">((LEN($AQ33)-LEN(SUBSTITUTE($AQ33,CHAR(10)&amp;"! ","")))/3)+IF(LEFT(TRIM($AQ33),2)="! ",1,0)</f>
        <v>0</v>
      </c>
      <c r="J33" s="50" t="n">
        <f aca="false">((LEN($AQ33)-LEN(SUBSTITUTE($AQ33,CHAR(10)&amp;"x ","")))/3)+IF(LEFT(TRIM($AQ33),2)="x ",1,0)</f>
        <v>0</v>
      </c>
      <c r="K33" s="50" t="n">
        <f aca="false">SUM(F33:J33)</f>
        <v>0</v>
      </c>
      <c r="L33" s="51" t="n">
        <f aca="false">YEAR(D33)</f>
        <v>1899</v>
      </c>
      <c r="M33" s="51" t="str">
        <f aca="false">VLOOKUP(MONTH(D33),Static!$AJ$3:$AK$16,2,0)</f>
        <v>Dec</v>
      </c>
      <c r="N33" s="51" t="n">
        <f aca="false">WEEKNUM(D33,1)</f>
        <v>52</v>
      </c>
      <c r="O33" s="51" t="str">
        <f aca="false">IFERROR(INDEX(Static!$I$5:$L$15,MATCH(AF33,Static!$I$5:$I$15,0),3),"Z")</f>
        <v>Z</v>
      </c>
      <c r="P33" s="51" t="str">
        <f aca="false">IFERROR(INDEX(#REF!,MATCH(AN33,#REF!,0),3),"Z")</f>
        <v>Z</v>
      </c>
      <c r="Q33" s="51" t="str">
        <f aca="false">IFERROR(INDEX(Static!$I$5:$L$15,MATCH(AF33,Static!$I$5:$I$15,0),2),"Y")</f>
        <v>Y</v>
      </c>
      <c r="R33" s="51" t="str">
        <f aca="false">IFERROR(INDEX(Static!$I$5:$L$15,MATCH(AF33,Static!$I$5:$I$15,0),4),"Y")</f>
        <v>Y</v>
      </c>
      <c r="S33" s="51" t="str">
        <f aca="false">IF(AND(AJ33&lt;&gt;"",T33="N",$A$1&gt;=AJ33-(7*$D$2)),"Y","N")</f>
        <v>N</v>
      </c>
      <c r="T33" s="51" t="str">
        <f aca="false">IF(AND(AJ33&lt;&gt;"",$A$1&gt;=AJ33),"Y","N")</f>
        <v>N</v>
      </c>
      <c r="U33" s="51" t="str">
        <f aca="false">IF(D33&gt;(($A$1-WEEKDAY($A$1,2))-7*$D$2),"Y","N")</f>
        <v>N</v>
      </c>
      <c r="V33" s="49" t="str">
        <f aca="false">IF(AR33&gt;0,"Y","N")</f>
        <v>N</v>
      </c>
      <c r="W33" s="51" t="str">
        <f aca="false">IF(AND(U33="Y",V33="N"),"Y","N")</f>
        <v>N</v>
      </c>
      <c r="X33" s="52" t="str">
        <f aca="false">IF(OR(S33="Y",AND(V33="Y",T33="Y"), $A$1=AJ33),"Y","N")</f>
        <v>N</v>
      </c>
      <c r="Y33" s="49" t="str">
        <f aca="false">IF(OR(AD33="Y",AD33="N"),AD33,IF(AND(R33="Y", OR(U33="Y",W33="Y", X33="Y")),"Y","N"))</f>
        <v>N</v>
      </c>
      <c r="Z33" s="51" t="str">
        <f aca="false">IF(OR(Q33="Y", V33="Y",X33="Y"),"Y","N")</f>
        <v>Y</v>
      </c>
      <c r="AA33" s="53" t="str">
        <f aca="false">" -  "&amp;O33&amp;AN33</f>
        <v>-  Z</v>
      </c>
      <c r="AB33" s="51" t="str">
        <f aca="false">IFERROR(VLOOKUP(WEEKDAY(AC33),Static!$AL$3:$AM$11,2,0),"")</f>
        <v/>
      </c>
      <c r="AC33" s="49" t="str">
        <f aca="false">IF(AI33&lt;&gt;"",AI33,AV33)</f>
        <v/>
      </c>
      <c r="AD33" s="54"/>
      <c r="AE33" s="54"/>
      <c r="AF33" s="55"/>
      <c r="AG33" s="56"/>
      <c r="AH33" s="56"/>
      <c r="AI33" s="54"/>
      <c r="AJ33" s="54"/>
      <c r="AK33" s="57"/>
      <c r="AL33" s="54"/>
      <c r="AM33" s="54"/>
      <c r="AN33" s="54"/>
      <c r="AO33" s="58"/>
      <c r="AP33" s="56"/>
      <c r="AQ33" s="58"/>
      <c r="AR33" s="51" t="n">
        <f aca="false">SUM(F33:I33)</f>
        <v>0</v>
      </c>
      <c r="AS33" s="59" t="n">
        <f aca="false">IF(AG33="",1,IF(K33&lt;&gt;0,(G33*0.5+J33)/K33,1))</f>
        <v>1</v>
      </c>
      <c r="AT33" s="60" t="str">
        <f aca="false">IF(AP33="","",IF(ISERROR(FIND(CHAR(10),AP33,1)),AP33,LEFT(AP33,FIND(CHAR(10),AP33,1))))</f>
        <v/>
      </c>
      <c r="AU33" s="61" t="str">
        <f aca="false">IF(AP33="","",IFERROR(RIGHT(AP33,LEN(AP33)-FIND("@@@",SUBSTITUTE(AP33,CHAR(10),"@@@",LEN(AP33)-LEN(SUBSTITUTE(AP33,CHAR(10),""))),1)),AP33))</f>
        <v/>
      </c>
      <c r="AV33" s="62" t="str">
        <f aca="false">IFERROR(DATE(("20"&amp;MID(AT33,7,2))*1,MID(AT33,4,2)*1,MID(AT33,1,2)*1),"")</f>
        <v/>
      </c>
      <c r="AW33" s="62" t="str">
        <f aca="false">IFERROR(DATE(("20"&amp;MID(AU33,7,2))*1,MID(AU33,4,2)*1,MID(AU33,1,2)*1),"")</f>
        <v/>
      </c>
      <c r="AX33" s="56" t="s">
        <v>450</v>
      </c>
    </row>
    <row r="34" customFormat="false" ht="12.75" hidden="false" customHeight="true" outlineLevel="0" collapsed="false">
      <c r="A34" s="63"/>
      <c r="B34" s="49" t="str">
        <f aca="false">IF(AL34="","tbc",AL34)</f>
        <v>tbc</v>
      </c>
      <c r="C34" s="49" t="str">
        <f aca="false">IF(AM34="","VNT",AM34)</f>
        <v>VNT</v>
      </c>
      <c r="D34" s="49" t="n">
        <f aca="false">MAX(AC34,IF(AW34="none",AC34,AW34))</f>
        <v>0</v>
      </c>
      <c r="E34" s="50" t="n">
        <f aca="false">IFERROR(DAYS360(AC34,D34),0)</f>
        <v>0</v>
      </c>
      <c r="F34" s="50" t="n">
        <f aca="false">((LEN($AQ34)-LEN(SUBSTITUTE($AQ34,CHAR(10)&amp;". ","")))/3)+IF(LEFT(TRIM($AQ34),2)=". ",1,0)</f>
        <v>0</v>
      </c>
      <c r="G34" s="50" t="n">
        <f aca="false">((LEN($AQ34)-LEN(SUBSTITUTE($AQ34,CHAR(10)&amp;"/ ","")))/3)+IF(LEFT(TRIM($AQ34),2)="/ ",1,0)</f>
        <v>0</v>
      </c>
      <c r="H34" s="50" t="n">
        <f aca="false">((LEN($AQ34)-LEN(SUBSTITUTE($AQ34,CHAR(10)&amp;"~ ","")))/3)+IF(LEFT(TRIM($AQ34),2)="~ ",1,0)</f>
        <v>0</v>
      </c>
      <c r="I34" s="50" t="n">
        <f aca="false">((LEN($AQ34)-LEN(SUBSTITUTE($AQ34,CHAR(10)&amp;"! ","")))/3)+IF(LEFT(TRIM($AQ34),2)="! ",1,0)</f>
        <v>0</v>
      </c>
      <c r="J34" s="50" t="n">
        <f aca="false">((LEN($AQ34)-LEN(SUBSTITUTE($AQ34,CHAR(10)&amp;"x ","")))/3)+IF(LEFT(TRIM($AQ34),2)="x ",1,0)</f>
        <v>0</v>
      </c>
      <c r="K34" s="50" t="n">
        <f aca="false">SUM(F34:J34)</f>
        <v>0</v>
      </c>
      <c r="L34" s="51" t="n">
        <f aca="false">YEAR(D34)</f>
        <v>1899</v>
      </c>
      <c r="M34" s="51" t="str">
        <f aca="false">VLOOKUP(MONTH(D34),Static!$AJ$3:$AK$16,2,0)</f>
        <v>Dec</v>
      </c>
      <c r="N34" s="51" t="n">
        <f aca="false">WEEKNUM(D34,1)</f>
        <v>52</v>
      </c>
      <c r="O34" s="51" t="str">
        <f aca="false">IFERROR(INDEX(Static!$I$5:$L$15,MATCH(AF34,Static!$I$5:$I$15,0),3),"Z")</f>
        <v>Z</v>
      </c>
      <c r="P34" s="51" t="str">
        <f aca="false">IFERROR(INDEX(#REF!,MATCH(AN34,#REF!,0),3),"Z")</f>
        <v>Z</v>
      </c>
      <c r="Q34" s="51" t="str">
        <f aca="false">IFERROR(INDEX(Static!$I$5:$L$15,MATCH(AF34,Static!$I$5:$I$15,0),2),"Y")</f>
        <v>Y</v>
      </c>
      <c r="R34" s="51" t="str">
        <f aca="false">IFERROR(INDEX(Static!$I$5:$L$15,MATCH(AF34,Static!$I$5:$I$15,0),4),"Y")</f>
        <v>Y</v>
      </c>
      <c r="S34" s="51" t="str">
        <f aca="false">IF(AND(AJ34&lt;&gt;"",T34="N",$A$1&gt;=AJ34-(7*$D$2)),"Y","N")</f>
        <v>N</v>
      </c>
      <c r="T34" s="51" t="str">
        <f aca="false">IF(AND(AJ34&lt;&gt;"",$A$1&gt;=AJ34),"Y","N")</f>
        <v>N</v>
      </c>
      <c r="U34" s="51" t="str">
        <f aca="false">IF(D34&gt;(($A$1-WEEKDAY($A$1,2))-7*$D$2),"Y","N")</f>
        <v>N</v>
      </c>
      <c r="V34" s="49" t="str">
        <f aca="false">IF(AR34&gt;0,"Y","N")</f>
        <v>N</v>
      </c>
      <c r="W34" s="51" t="str">
        <f aca="false">IF(AND(U34="Y",V34="N"),"Y","N")</f>
        <v>N</v>
      </c>
      <c r="X34" s="52" t="str">
        <f aca="false">IF(OR(S34="Y",AND(V34="Y",T34="Y"), $A$1=AJ34),"Y","N")</f>
        <v>N</v>
      </c>
      <c r="Y34" s="49" t="str">
        <f aca="false">IF(OR(AD34="Y",AD34="N"),AD34,IF(AND(R34="Y", OR(U34="Y",W34="Y", X34="Y")),"Y","N"))</f>
        <v>N</v>
      </c>
      <c r="Z34" s="51" t="str">
        <f aca="false">IF(OR(Q34="Y", V34="Y",X34="Y"),"Y","N")</f>
        <v>Y</v>
      </c>
      <c r="AA34" s="53" t="str">
        <f aca="false">" -  "&amp;O34&amp;AN34</f>
        <v>-  Z</v>
      </c>
      <c r="AB34" s="51" t="str">
        <f aca="false">IFERROR(VLOOKUP(WEEKDAY(AC34),Static!$AL$3:$AM$11,2,0),"")</f>
        <v/>
      </c>
      <c r="AC34" s="49" t="str">
        <f aca="false">IF(AI34&lt;&gt;"",AI34,AV34)</f>
        <v/>
      </c>
      <c r="AD34" s="54"/>
      <c r="AE34" s="54"/>
      <c r="AF34" s="55"/>
      <c r="AG34" s="56"/>
      <c r="AH34" s="56"/>
      <c r="AI34" s="54"/>
      <c r="AJ34" s="54"/>
      <c r="AK34" s="57"/>
      <c r="AL34" s="54"/>
      <c r="AM34" s="54"/>
      <c r="AN34" s="54"/>
      <c r="AO34" s="58"/>
      <c r="AP34" s="56"/>
      <c r="AQ34" s="58"/>
      <c r="AR34" s="51" t="n">
        <f aca="false">SUM(F34:I34)</f>
        <v>0</v>
      </c>
      <c r="AS34" s="59" t="n">
        <f aca="false">IF(AG34="",1,IF(K34&lt;&gt;0,(G34*0.5+J34)/K34,1))</f>
        <v>1</v>
      </c>
      <c r="AT34" s="60" t="str">
        <f aca="false">IF(AP34="","",IF(ISERROR(FIND(CHAR(10),AP34,1)),AP34,LEFT(AP34,FIND(CHAR(10),AP34,1))))</f>
        <v/>
      </c>
      <c r="AU34" s="61" t="str">
        <f aca="false">IF(AP34="","",IFERROR(RIGHT(AP34,LEN(AP34)-FIND("@@@",SUBSTITUTE(AP34,CHAR(10),"@@@",LEN(AP34)-LEN(SUBSTITUTE(AP34,CHAR(10),""))),1)),AP34))</f>
        <v/>
      </c>
      <c r="AV34" s="62" t="str">
        <f aca="false">IFERROR(DATE(("20"&amp;MID(AT34,7,2))*1,MID(AT34,4,2)*1,MID(AT34,1,2)*1),"")</f>
        <v/>
      </c>
      <c r="AW34" s="62" t="str">
        <f aca="false">IFERROR(DATE(("20"&amp;MID(AU34,7,2))*1,MID(AU34,4,2)*1,MID(AU34,1,2)*1),"")</f>
        <v/>
      </c>
      <c r="AX34" s="56" t="s">
        <v>450</v>
      </c>
    </row>
    <row r="35" customFormat="false" ht="12.75" hidden="false" customHeight="true" outlineLevel="0" collapsed="false">
      <c r="A35" s="63"/>
      <c r="B35" s="49" t="str">
        <f aca="false">IF(AL35="","tbc",AL35)</f>
        <v>tbc</v>
      </c>
      <c r="C35" s="49" t="str">
        <f aca="false">IF(AM35="","VNT",AM35)</f>
        <v>VNT</v>
      </c>
      <c r="D35" s="49" t="n">
        <f aca="false">MAX(AC35,IF(AW35="none",AC35,AW35))</f>
        <v>0</v>
      </c>
      <c r="E35" s="50" t="n">
        <f aca="false">IFERROR(DAYS360(AC35,D35),0)</f>
        <v>0</v>
      </c>
      <c r="F35" s="50" t="n">
        <f aca="false">((LEN($AQ35)-LEN(SUBSTITUTE($AQ35,CHAR(10)&amp;". ","")))/3)+IF(LEFT(TRIM($AQ35),2)=". ",1,0)</f>
        <v>0</v>
      </c>
      <c r="G35" s="50" t="n">
        <f aca="false">((LEN($AQ35)-LEN(SUBSTITUTE($AQ35,CHAR(10)&amp;"/ ","")))/3)+IF(LEFT(TRIM($AQ35),2)="/ ",1,0)</f>
        <v>0</v>
      </c>
      <c r="H35" s="50" t="n">
        <f aca="false">((LEN($AQ35)-LEN(SUBSTITUTE($AQ35,CHAR(10)&amp;"~ ","")))/3)+IF(LEFT(TRIM($AQ35),2)="~ ",1,0)</f>
        <v>0</v>
      </c>
      <c r="I35" s="50" t="n">
        <f aca="false">((LEN($AQ35)-LEN(SUBSTITUTE($AQ35,CHAR(10)&amp;"! ","")))/3)+IF(LEFT(TRIM($AQ35),2)="! ",1,0)</f>
        <v>0</v>
      </c>
      <c r="J35" s="50" t="n">
        <f aca="false">((LEN($AQ35)-LEN(SUBSTITUTE($AQ35,CHAR(10)&amp;"x ","")))/3)+IF(LEFT(TRIM($AQ35),2)="x ",1,0)</f>
        <v>0</v>
      </c>
      <c r="K35" s="50" t="n">
        <f aca="false">SUM(F35:J35)</f>
        <v>0</v>
      </c>
      <c r="L35" s="51" t="n">
        <f aca="false">YEAR(D35)</f>
        <v>1899</v>
      </c>
      <c r="M35" s="51" t="str">
        <f aca="false">VLOOKUP(MONTH(D35),Static!$AJ$3:$AK$16,2,0)</f>
        <v>Dec</v>
      </c>
      <c r="N35" s="51" t="n">
        <f aca="false">WEEKNUM(D35,1)</f>
        <v>52</v>
      </c>
      <c r="O35" s="51" t="str">
        <f aca="false">IFERROR(INDEX(Static!$I$5:$L$15,MATCH(AF35,Static!$I$5:$I$15,0),3),"Z")</f>
        <v>Z</v>
      </c>
      <c r="P35" s="51" t="str">
        <f aca="false">IFERROR(INDEX(#REF!,MATCH(AN35,#REF!,0),3),"Z")</f>
        <v>Z</v>
      </c>
      <c r="Q35" s="51" t="str">
        <f aca="false">IFERROR(INDEX(Static!$I$5:$L$15,MATCH(AF35,Static!$I$5:$I$15,0),2),"Y")</f>
        <v>Y</v>
      </c>
      <c r="R35" s="51" t="str">
        <f aca="false">IFERROR(INDEX(Static!$I$5:$L$15,MATCH(AF35,Static!$I$5:$I$15,0),4),"Y")</f>
        <v>Y</v>
      </c>
      <c r="S35" s="51" t="str">
        <f aca="false">IF(AND(AJ35&lt;&gt;"",T35="N",$A$1&gt;=AJ35-(7*$D$2)),"Y","N")</f>
        <v>N</v>
      </c>
      <c r="T35" s="51" t="str">
        <f aca="false">IF(AND(AJ35&lt;&gt;"",$A$1&gt;=AJ35),"Y","N")</f>
        <v>N</v>
      </c>
      <c r="U35" s="51" t="str">
        <f aca="false">IF(D35&gt;(($A$1-WEEKDAY($A$1,2))-7*$D$2),"Y","N")</f>
        <v>N</v>
      </c>
      <c r="V35" s="49" t="str">
        <f aca="false">IF(AR35&gt;0,"Y","N")</f>
        <v>N</v>
      </c>
      <c r="W35" s="51" t="str">
        <f aca="false">IF(AND(U35="Y",V35="N"),"Y","N")</f>
        <v>N</v>
      </c>
      <c r="X35" s="52" t="str">
        <f aca="false">IF(OR(S35="Y",AND(V35="Y",T35="Y"), $A$1=AJ35),"Y","N")</f>
        <v>N</v>
      </c>
      <c r="Y35" s="49" t="str">
        <f aca="false">IF(OR(AD35="Y",AD35="N"),AD35,IF(AND(R35="Y", OR(U35="Y",W35="Y", X35="Y")),"Y","N"))</f>
        <v>N</v>
      </c>
      <c r="Z35" s="51" t="str">
        <f aca="false">IF(OR(Q35="Y", V35="Y",X35="Y"),"Y","N")</f>
        <v>Y</v>
      </c>
      <c r="AA35" s="53" t="str">
        <f aca="false">" -  "&amp;O35&amp;AN35</f>
        <v>-  Z</v>
      </c>
      <c r="AB35" s="51" t="str">
        <f aca="false">IFERROR(VLOOKUP(WEEKDAY(AC35),Static!$AL$3:$AM$11,2,0),"")</f>
        <v/>
      </c>
      <c r="AC35" s="49" t="str">
        <f aca="false">IF(AI35&lt;&gt;"",AI35,AV35)</f>
        <v/>
      </c>
      <c r="AD35" s="54"/>
      <c r="AE35" s="54"/>
      <c r="AF35" s="55"/>
      <c r="AG35" s="56"/>
      <c r="AH35" s="56"/>
      <c r="AI35" s="54"/>
      <c r="AJ35" s="54"/>
      <c r="AK35" s="57"/>
      <c r="AL35" s="54"/>
      <c r="AM35" s="54"/>
      <c r="AN35" s="54"/>
      <c r="AO35" s="58"/>
      <c r="AP35" s="56"/>
      <c r="AQ35" s="56"/>
      <c r="AR35" s="51" t="n">
        <f aca="false">SUM(F35:I35)</f>
        <v>0</v>
      </c>
      <c r="AS35" s="59" t="n">
        <f aca="false">IF(AG35="",1,IF(K35&lt;&gt;0,(G35*0.5+J35)/K35,1))</f>
        <v>1</v>
      </c>
      <c r="AT35" s="60" t="str">
        <f aca="false">IF(AP35="","",IF(ISERROR(FIND(CHAR(10),AP35,1)),AP35,LEFT(AP35,FIND(CHAR(10),AP35,1))))</f>
        <v/>
      </c>
      <c r="AU35" s="61" t="str">
        <f aca="false">IF(AP35="","",IFERROR(RIGHT(AP35,LEN(AP35)-FIND("@@@",SUBSTITUTE(AP35,CHAR(10),"@@@",LEN(AP35)-LEN(SUBSTITUTE(AP35,CHAR(10),""))),1)),AP35))</f>
        <v/>
      </c>
      <c r="AV35" s="62" t="str">
        <f aca="false">IFERROR(DATE(("20"&amp;MID(AT35,7,2))*1,MID(AT35,4,2)*1,MID(AT35,1,2)*1),"")</f>
        <v/>
      </c>
      <c r="AW35" s="62" t="str">
        <f aca="false">IFERROR(DATE(("20"&amp;MID(AU35,7,2))*1,MID(AU35,4,2)*1,MID(AU35,1,2)*1),"")</f>
        <v/>
      </c>
      <c r="AX35" s="56" t="s">
        <v>450</v>
      </c>
    </row>
    <row r="36" customFormat="false" ht="12.75" hidden="false" customHeight="true" outlineLevel="0" collapsed="false">
      <c r="A36" s="63"/>
      <c r="B36" s="49" t="str">
        <f aca="false">IF(AL36="","tbc",AL36)</f>
        <v>tbc</v>
      </c>
      <c r="C36" s="49" t="str">
        <f aca="false">IF(AM36="","VNT",AM36)</f>
        <v>VNT</v>
      </c>
      <c r="D36" s="49" t="n">
        <f aca="false">MAX(AC36,IF(AW36="none",AC36,AW36))</f>
        <v>0</v>
      </c>
      <c r="E36" s="50" t="n">
        <f aca="false">IFERROR(DAYS360(AC36,D36),0)</f>
        <v>0</v>
      </c>
      <c r="F36" s="50" t="n">
        <f aca="false">((LEN($AQ36)-LEN(SUBSTITUTE($AQ36,CHAR(10)&amp;". ","")))/3)+IF(LEFT(TRIM($AQ36),2)=". ",1,0)</f>
        <v>0</v>
      </c>
      <c r="G36" s="50" t="n">
        <f aca="false">((LEN($AQ36)-LEN(SUBSTITUTE($AQ36,CHAR(10)&amp;"/ ","")))/3)+IF(LEFT(TRIM($AQ36),2)="/ ",1,0)</f>
        <v>0</v>
      </c>
      <c r="H36" s="50" t="n">
        <f aca="false">((LEN($AQ36)-LEN(SUBSTITUTE($AQ36,CHAR(10)&amp;"~ ","")))/3)+IF(LEFT(TRIM($AQ36),2)="~ ",1,0)</f>
        <v>0</v>
      </c>
      <c r="I36" s="50" t="n">
        <f aca="false">((LEN($AQ36)-LEN(SUBSTITUTE($AQ36,CHAR(10)&amp;"! ","")))/3)+IF(LEFT(TRIM($AQ36),2)="! ",1,0)</f>
        <v>0</v>
      </c>
      <c r="J36" s="50" t="n">
        <f aca="false">((LEN($AQ36)-LEN(SUBSTITUTE($AQ36,CHAR(10)&amp;"x ","")))/3)+IF(LEFT(TRIM($AQ36),2)="x ",1,0)</f>
        <v>0</v>
      </c>
      <c r="K36" s="50" t="n">
        <f aca="false">SUM(F36:J36)</f>
        <v>0</v>
      </c>
      <c r="L36" s="51" t="n">
        <f aca="false">YEAR(D36)</f>
        <v>1899</v>
      </c>
      <c r="M36" s="51" t="str">
        <f aca="false">VLOOKUP(MONTH(D36),Static!$AJ$3:$AK$16,2,0)</f>
        <v>Dec</v>
      </c>
      <c r="N36" s="51" t="n">
        <f aca="false">WEEKNUM(D36,1)</f>
        <v>52</v>
      </c>
      <c r="O36" s="51" t="str">
        <f aca="false">IFERROR(INDEX(Static!$I$5:$L$15,MATCH(AF36,Static!$I$5:$I$15,0),3),"Z")</f>
        <v>Z</v>
      </c>
      <c r="P36" s="51" t="str">
        <f aca="false">IFERROR(INDEX(#REF!,MATCH(AN36,#REF!,0),3),"Z")</f>
        <v>Z</v>
      </c>
      <c r="Q36" s="51" t="str">
        <f aca="false">IFERROR(INDEX(Static!$I$5:$L$15,MATCH(AF36,Static!$I$5:$I$15,0),2),"Y")</f>
        <v>Y</v>
      </c>
      <c r="R36" s="51" t="str">
        <f aca="false">IFERROR(INDEX(Static!$I$5:$L$15,MATCH(AF36,Static!$I$5:$I$15,0),4),"Y")</f>
        <v>Y</v>
      </c>
      <c r="S36" s="51" t="str">
        <f aca="false">IF(AND(AJ36&lt;&gt;"",T36="N",$A$1&gt;=AJ36-(7*$D$2)),"Y","N")</f>
        <v>N</v>
      </c>
      <c r="T36" s="51" t="str">
        <f aca="false">IF(AND(AJ36&lt;&gt;"",$A$1&gt;=AJ36),"Y","N")</f>
        <v>N</v>
      </c>
      <c r="U36" s="51" t="str">
        <f aca="false">IF(D36&gt;(($A$1-WEEKDAY($A$1,2))-7*$D$2),"Y","N")</f>
        <v>N</v>
      </c>
      <c r="V36" s="49" t="str">
        <f aca="false">IF(AR36&gt;0,"Y","N")</f>
        <v>N</v>
      </c>
      <c r="W36" s="51" t="str">
        <f aca="false">IF(AND(U36="Y",V36="N"),"Y","N")</f>
        <v>N</v>
      </c>
      <c r="X36" s="52" t="str">
        <f aca="false">IF(OR(S36="Y",AND(V36="Y",T36="Y"), $A$1=AJ36),"Y","N")</f>
        <v>N</v>
      </c>
      <c r="Y36" s="49" t="str">
        <f aca="false">IF(OR(AD36="Y",AD36="N"),AD36,IF(AND(R36="Y", OR(U36="Y",W36="Y", X36="Y")),"Y","N"))</f>
        <v>N</v>
      </c>
      <c r="Z36" s="51" t="str">
        <f aca="false">IF(OR(Q36="Y", V36="Y",X36="Y"),"Y","N")</f>
        <v>Y</v>
      </c>
      <c r="AA36" s="53" t="str">
        <f aca="false">" -  "&amp;O36&amp;AN36</f>
        <v>-  Z</v>
      </c>
      <c r="AB36" s="51" t="str">
        <f aca="false">IFERROR(VLOOKUP(WEEKDAY(AC36),Static!$AL$3:$AM$11,2,0),"")</f>
        <v/>
      </c>
      <c r="AC36" s="49" t="str">
        <f aca="false">IF(AI36&lt;&gt;"",AI36,AV36)</f>
        <v/>
      </c>
      <c r="AD36" s="54"/>
      <c r="AE36" s="54"/>
      <c r="AF36" s="55"/>
      <c r="AG36" s="56"/>
      <c r="AH36" s="56"/>
      <c r="AI36" s="54"/>
      <c r="AJ36" s="54"/>
      <c r="AK36" s="57"/>
      <c r="AL36" s="54"/>
      <c r="AM36" s="54"/>
      <c r="AN36" s="54"/>
      <c r="AO36" s="58"/>
      <c r="AP36" s="58"/>
      <c r="AQ36" s="56"/>
      <c r="AR36" s="51" t="n">
        <f aca="false">SUM(F36:I36)</f>
        <v>0</v>
      </c>
      <c r="AS36" s="59" t="n">
        <f aca="false">IF(AG36="",1,IF(K36&lt;&gt;0,(G36*0.5+J36)/K36,1))</f>
        <v>1</v>
      </c>
      <c r="AT36" s="64" t="str">
        <f aca="false">IF(AP36="","",IF(ISERROR(FIND(CHAR(10),AP36,1)),AP36,LEFT(AP36,FIND(CHAR(10),AP36,1))))</f>
        <v/>
      </c>
      <c r="AU36" s="65" t="str">
        <f aca="false">IF(AP36="","",IFERROR(RIGHT(AP36,LEN(AP36)-FIND("@@@",SUBSTITUTE(AP36,CHAR(10),"@@@",LEN(AP36)-LEN(SUBSTITUTE(AP36,CHAR(10),""))),1)),AP36))</f>
        <v/>
      </c>
      <c r="AV36" s="62" t="str">
        <f aca="false">IFERROR(DATE(("20"&amp;MID(AT36,7,2))*1,MID(AT36,4,2)*1,MID(AT36,1,2)*1),"")</f>
        <v/>
      </c>
      <c r="AW36" s="62" t="str">
        <f aca="false">IFERROR(DATE(("20"&amp;MID(AU36,7,2))*1,MID(AU36,4,2)*1,MID(AU36,1,2)*1),"")</f>
        <v/>
      </c>
      <c r="AX36" s="56" t="s">
        <v>450</v>
      </c>
    </row>
    <row r="37" customFormat="false" ht="12.75" hidden="false" customHeight="true" outlineLevel="0" collapsed="false">
      <c r="B37" s="49" t="str">
        <f aca="false">IF(AL37="","tbc",AL37)</f>
        <v>tbc</v>
      </c>
      <c r="C37" s="49" t="str">
        <f aca="false">IF(AM37="","VNT",AM37)</f>
        <v>VNT</v>
      </c>
      <c r="D37" s="49" t="n">
        <f aca="false">MAX(AC37,IF(AW37="none",AC37,AW37))</f>
        <v>0</v>
      </c>
      <c r="E37" s="50" t="n">
        <f aca="false">IFERROR(DAYS360(AC37,D37),0)</f>
        <v>0</v>
      </c>
      <c r="F37" s="50" t="n">
        <f aca="false">((LEN($AQ37)-LEN(SUBSTITUTE($AQ37,CHAR(10)&amp;". ","")))/3)+IF(LEFT(TRIM($AQ37),2)=". ",1,0)</f>
        <v>0</v>
      </c>
      <c r="G37" s="50" t="n">
        <f aca="false">((LEN($AQ37)-LEN(SUBSTITUTE($AQ37,CHAR(10)&amp;"/ ","")))/3)+IF(LEFT(TRIM($AQ37),2)="/ ",1,0)</f>
        <v>0</v>
      </c>
      <c r="H37" s="50" t="n">
        <f aca="false">((LEN($AQ37)-LEN(SUBSTITUTE($AQ37,CHAR(10)&amp;"~ ","")))/3)+IF(LEFT(TRIM($AQ37),2)="~ ",1,0)</f>
        <v>0</v>
      </c>
      <c r="I37" s="50" t="n">
        <f aca="false">((LEN($AQ37)-LEN(SUBSTITUTE($AQ37,CHAR(10)&amp;"! ","")))/3)+IF(LEFT(TRIM($AQ37),2)="! ",1,0)</f>
        <v>0</v>
      </c>
      <c r="J37" s="50" t="n">
        <f aca="false">((LEN($AQ37)-LEN(SUBSTITUTE($AQ37,CHAR(10)&amp;"x ","")))/3)+IF(LEFT(TRIM($AQ37),2)="x ",1,0)</f>
        <v>0</v>
      </c>
      <c r="K37" s="50" t="n">
        <f aca="false">SUM(F37:J37)</f>
        <v>0</v>
      </c>
      <c r="L37" s="51" t="n">
        <f aca="false">YEAR(D37)</f>
        <v>1899</v>
      </c>
      <c r="M37" s="51" t="str">
        <f aca="false">VLOOKUP(MONTH(D37),Static!$AJ$3:$AK$16,2,0)</f>
        <v>Dec</v>
      </c>
      <c r="N37" s="51" t="n">
        <f aca="false">WEEKNUM(D37,1)</f>
        <v>52</v>
      </c>
      <c r="O37" s="51" t="str">
        <f aca="false">IFERROR(INDEX(Static!$I$5:$L$15,MATCH(AF37,Static!$I$5:$I$15,0),3),"Z")</f>
        <v>Z</v>
      </c>
      <c r="P37" s="51" t="str">
        <f aca="false">IFERROR(INDEX(#REF!,MATCH(AN37,#REF!,0),3),"Z")</f>
        <v>Z</v>
      </c>
      <c r="Q37" s="51" t="str">
        <f aca="false">IFERROR(INDEX(Static!$I$5:$L$15,MATCH(AF37,Static!$I$5:$I$15,0),2),"Y")</f>
        <v>Y</v>
      </c>
      <c r="R37" s="51" t="str">
        <f aca="false">IFERROR(INDEX(Static!$I$5:$L$15,MATCH(AF37,Static!$I$5:$I$15,0),4),"Y")</f>
        <v>Y</v>
      </c>
      <c r="S37" s="51" t="str">
        <f aca="false">IF(AND(AJ37&lt;&gt;"",T37="N",$A$1&gt;=AJ37-(7*$D$2)),"Y","N")</f>
        <v>N</v>
      </c>
      <c r="T37" s="51" t="str">
        <f aca="false">IF(AND(AJ37&lt;&gt;"",$A$1&gt;=AJ37),"Y","N")</f>
        <v>N</v>
      </c>
      <c r="U37" s="51" t="str">
        <f aca="false">IF(D37&gt;(($A$1-WEEKDAY($A$1,2))-7*$D$2),"Y","N")</f>
        <v>N</v>
      </c>
      <c r="V37" s="49" t="str">
        <f aca="false">IF(AR37&gt;0,"Y","N")</f>
        <v>N</v>
      </c>
      <c r="W37" s="51" t="str">
        <f aca="false">IF(AND(U37="Y",V37="N"),"Y","N")</f>
        <v>N</v>
      </c>
      <c r="X37" s="52" t="str">
        <f aca="false">IF(OR(S37="Y",AND(V37="Y",T37="Y"), $A$1=AJ37),"Y","N")</f>
        <v>N</v>
      </c>
      <c r="Y37" s="49" t="str">
        <f aca="false">IF(OR(AD37="Y",AD37="N"),AD37,IF(AND(R37="Y", OR(U37="Y",W37="Y", X37="Y")),"Y","N"))</f>
        <v>N</v>
      </c>
      <c r="Z37" s="51" t="str">
        <f aca="false">IF(OR(Q37="Y", V37="Y",X37="Y"),"Y","N")</f>
        <v>Y</v>
      </c>
      <c r="AA37" s="53" t="str">
        <f aca="false">" -  "&amp;O37&amp;AN37</f>
        <v>-  Z</v>
      </c>
      <c r="AB37" s="51" t="str">
        <f aca="false">IFERROR(VLOOKUP(WEEKDAY(AC37),Static!$AL$3:$AM$11,2,0),"")</f>
        <v/>
      </c>
      <c r="AC37" s="49" t="str">
        <f aca="false">IF(AI37&lt;&gt;"",AI37,AV37)</f>
        <v/>
      </c>
      <c r="AD37" s="54"/>
      <c r="AE37" s="54"/>
      <c r="AF37" s="55"/>
      <c r="AG37" s="56"/>
      <c r="AH37" s="56"/>
      <c r="AI37" s="54"/>
      <c r="AJ37" s="54"/>
      <c r="AK37" s="57"/>
      <c r="AL37" s="54"/>
      <c r="AM37" s="54"/>
      <c r="AN37" s="54"/>
      <c r="AO37" s="56"/>
      <c r="AP37" s="56"/>
      <c r="AQ37" s="58"/>
      <c r="AR37" s="51" t="n">
        <f aca="false">SUM(F37:I37)</f>
        <v>0</v>
      </c>
      <c r="AS37" s="59" t="n">
        <f aca="false">IF(AG37="",1,IF(K37&lt;&gt;0,(G37*0.5+J37)/K37,1))</f>
        <v>1</v>
      </c>
      <c r="AT37" s="60" t="str">
        <f aca="false">IF(AP37="","",IF(ISERROR(FIND(CHAR(10),AP37,1)),AP37,LEFT(AP37,FIND(CHAR(10),AP37,1))))</f>
        <v/>
      </c>
      <c r="AU37" s="61" t="str">
        <f aca="false">IF(AP37="","",IFERROR(RIGHT(AP37,LEN(AP37)-FIND("@@@",SUBSTITUTE(AP37,CHAR(10),"@@@",LEN(AP37)-LEN(SUBSTITUTE(AP37,CHAR(10),""))),1)),AP37))</f>
        <v/>
      </c>
      <c r="AV37" s="62" t="str">
        <f aca="false">IFERROR(DATE(("20"&amp;MID(AT37,7,2))*1,MID(AT37,4,2)*1,MID(AT37,1,2)*1),"")</f>
        <v/>
      </c>
      <c r="AW37" s="62" t="str">
        <f aca="false">IFERROR(DATE(("20"&amp;MID(AU37,7,2))*1,MID(AU37,4,2)*1,MID(AU37,1,2)*1),"")</f>
        <v/>
      </c>
      <c r="AX37" s="56" t="s">
        <v>450</v>
      </c>
    </row>
    <row r="38" customFormat="false" ht="12.75" hidden="false" customHeight="true" outlineLevel="0" collapsed="false">
      <c r="B38" s="49" t="str">
        <f aca="false">IF(AL38="","tbc",AL38)</f>
        <v>tbc</v>
      </c>
      <c r="C38" s="49" t="str">
        <f aca="false">IF(AM38="","VNT",AM38)</f>
        <v>VNT</v>
      </c>
      <c r="D38" s="49" t="n">
        <f aca="false">MAX(AC38,IF(AW38="none",AC38,AW38))</f>
        <v>0</v>
      </c>
      <c r="E38" s="50" t="n">
        <f aca="false">IFERROR(DAYS360(AC38,D38),0)</f>
        <v>0</v>
      </c>
      <c r="F38" s="50" t="n">
        <f aca="false">((LEN($AQ38)-LEN(SUBSTITUTE($AQ38,CHAR(10)&amp;". ","")))/3)+IF(LEFT(TRIM($AQ38),2)=". ",1,0)</f>
        <v>0</v>
      </c>
      <c r="G38" s="50" t="n">
        <f aca="false">((LEN($AQ38)-LEN(SUBSTITUTE($AQ38,CHAR(10)&amp;"/ ","")))/3)+IF(LEFT(TRIM($AQ38),2)="/ ",1,0)</f>
        <v>0</v>
      </c>
      <c r="H38" s="50" t="n">
        <f aca="false">((LEN($AQ38)-LEN(SUBSTITUTE($AQ38,CHAR(10)&amp;"~ ","")))/3)+IF(LEFT(TRIM($AQ38),2)="~ ",1,0)</f>
        <v>0</v>
      </c>
      <c r="I38" s="50" t="n">
        <f aca="false">((LEN($AQ38)-LEN(SUBSTITUTE($AQ38,CHAR(10)&amp;"! ","")))/3)+IF(LEFT(TRIM($AQ38),2)="! ",1,0)</f>
        <v>0</v>
      </c>
      <c r="J38" s="50" t="n">
        <f aca="false">((LEN($AQ38)-LEN(SUBSTITUTE($AQ38,CHAR(10)&amp;"x ","")))/3)+IF(LEFT(TRIM($AQ38),2)="x ",1,0)</f>
        <v>0</v>
      </c>
      <c r="K38" s="50" t="n">
        <f aca="false">SUM(F38:J38)</f>
        <v>0</v>
      </c>
      <c r="L38" s="51" t="n">
        <f aca="false">YEAR(D38)</f>
        <v>1899</v>
      </c>
      <c r="M38" s="51" t="str">
        <f aca="false">VLOOKUP(MONTH(D38),Static!$AJ$3:$AK$16,2,0)</f>
        <v>Dec</v>
      </c>
      <c r="N38" s="51" t="n">
        <f aca="false">WEEKNUM(D38,1)</f>
        <v>52</v>
      </c>
      <c r="O38" s="51" t="str">
        <f aca="false">IFERROR(INDEX(Static!$I$5:$L$15,MATCH(AF38,Static!$I$5:$I$15,0),3),"Z")</f>
        <v>Z</v>
      </c>
      <c r="P38" s="51" t="str">
        <f aca="false">IFERROR(INDEX(#REF!,MATCH(AN38,#REF!,0),3),"Z")</f>
        <v>Z</v>
      </c>
      <c r="Q38" s="51" t="str">
        <f aca="false">IFERROR(INDEX(Static!$I$5:$L$15,MATCH(AF38,Static!$I$5:$I$15,0),2),"Y")</f>
        <v>Y</v>
      </c>
      <c r="R38" s="51" t="str">
        <f aca="false">IFERROR(INDEX(Static!$I$5:$L$15,MATCH(AF38,Static!$I$5:$I$15,0),4),"Y")</f>
        <v>Y</v>
      </c>
      <c r="S38" s="51" t="str">
        <f aca="false">IF(AND(AJ38&lt;&gt;"",T38="N",$A$1&gt;=AJ38-(7*$D$2)),"Y","N")</f>
        <v>N</v>
      </c>
      <c r="T38" s="51" t="str">
        <f aca="false">IF(AND(AJ38&lt;&gt;"",$A$1&gt;=AJ38),"Y","N")</f>
        <v>N</v>
      </c>
      <c r="U38" s="51" t="str">
        <f aca="false">IF(D38&gt;(($A$1-WEEKDAY($A$1,2))-7*$D$2),"Y","N")</f>
        <v>N</v>
      </c>
      <c r="V38" s="49" t="str">
        <f aca="false">IF(AR38&gt;0,"Y","N")</f>
        <v>N</v>
      </c>
      <c r="W38" s="51" t="str">
        <f aca="false">IF(AND(U38="Y",V38="N"),"Y","N")</f>
        <v>N</v>
      </c>
      <c r="X38" s="52" t="str">
        <f aca="false">IF(OR(S38="Y",AND(V38="Y",T38="Y"), $A$1=AJ38),"Y","N")</f>
        <v>N</v>
      </c>
      <c r="Y38" s="49" t="str">
        <f aca="false">IF(OR(AD38="Y",AD38="N"),AD38,IF(AND(R38="Y", OR(U38="Y",W38="Y", X38="Y")),"Y","N"))</f>
        <v>N</v>
      </c>
      <c r="Z38" s="51" t="str">
        <f aca="false">IF(OR(Q38="Y", V38="Y",X38="Y"),"Y","N")</f>
        <v>Y</v>
      </c>
      <c r="AA38" s="53" t="str">
        <f aca="false">" -  "&amp;O38&amp;AN38</f>
        <v>-  Z</v>
      </c>
      <c r="AB38" s="51" t="str">
        <f aca="false">IFERROR(VLOOKUP(WEEKDAY(AC38),Static!$AL$3:$AM$11,2,0),"")</f>
        <v/>
      </c>
      <c r="AC38" s="49" t="str">
        <f aca="false">IF(AI38&lt;&gt;"",AI38,AV38)</f>
        <v/>
      </c>
      <c r="AD38" s="54"/>
      <c r="AE38" s="54"/>
      <c r="AF38" s="55"/>
      <c r="AG38" s="56"/>
      <c r="AH38" s="56"/>
      <c r="AI38" s="54"/>
      <c r="AJ38" s="54"/>
      <c r="AK38" s="57"/>
      <c r="AL38" s="54"/>
      <c r="AM38" s="54"/>
      <c r="AN38" s="54"/>
      <c r="AO38" s="56"/>
      <c r="AP38" s="56"/>
      <c r="AQ38" s="56"/>
      <c r="AR38" s="51" t="n">
        <f aca="false">SUM(F38:I38)</f>
        <v>0</v>
      </c>
      <c r="AS38" s="59" t="n">
        <f aca="false">IF(AG38="",1,IF(K38&lt;&gt;0,(G38*0.5+J38)/K38,1))</f>
        <v>1</v>
      </c>
      <c r="AT38" s="60" t="str">
        <f aca="false">IF(AP38="","",IF(ISERROR(FIND(CHAR(10),AP38,1)),AP38,LEFT(AP38,FIND(CHAR(10),AP38,1))))</f>
        <v/>
      </c>
      <c r="AU38" s="61" t="str">
        <f aca="false">IF(AP38="","",IFERROR(RIGHT(AP38,LEN(AP38)-FIND("@@@",SUBSTITUTE(AP38,CHAR(10),"@@@",LEN(AP38)-LEN(SUBSTITUTE(AP38,CHAR(10),""))),1)),AP38))</f>
        <v/>
      </c>
      <c r="AV38" s="62" t="str">
        <f aca="false">IFERROR(DATE(("20"&amp;MID(AT38,7,2))*1,MID(AT38,4,2)*1,MID(AT38,1,2)*1),"")</f>
        <v/>
      </c>
      <c r="AW38" s="62" t="str">
        <f aca="false">IFERROR(DATE(("20"&amp;MID(AU38,7,2))*1,MID(AU38,4,2)*1,MID(AU38,1,2)*1),"")</f>
        <v/>
      </c>
      <c r="AX38" s="56" t="s">
        <v>450</v>
      </c>
    </row>
    <row r="39" customFormat="false" ht="12.75" hidden="false" customHeight="true" outlineLevel="0" collapsed="false">
      <c r="B39" s="49" t="str">
        <f aca="false">IF(AL39="","tbc",AL39)</f>
        <v>tbc</v>
      </c>
      <c r="C39" s="49" t="str">
        <f aca="false">IF(AM39="","VNT",AM39)</f>
        <v>VNT</v>
      </c>
      <c r="D39" s="49" t="n">
        <f aca="false">MAX(AC39,IF(AW39="none",AC39,AW39))</f>
        <v>0</v>
      </c>
      <c r="E39" s="50" t="n">
        <f aca="false">IFERROR(DAYS360(AC39,D39),0)</f>
        <v>0</v>
      </c>
      <c r="F39" s="50" t="n">
        <f aca="false">((LEN($AQ39)-LEN(SUBSTITUTE($AQ39,CHAR(10)&amp;". ","")))/3)+IF(LEFT(TRIM($AQ39),2)=". ",1,0)</f>
        <v>0</v>
      </c>
      <c r="G39" s="50" t="n">
        <f aca="false">((LEN($AQ39)-LEN(SUBSTITUTE($AQ39,CHAR(10)&amp;"/ ","")))/3)+IF(LEFT(TRIM($AQ39),2)="/ ",1,0)</f>
        <v>0</v>
      </c>
      <c r="H39" s="50" t="n">
        <f aca="false">((LEN($AQ39)-LEN(SUBSTITUTE($AQ39,CHAR(10)&amp;"~ ","")))/3)+IF(LEFT(TRIM($AQ39),2)="~ ",1,0)</f>
        <v>0</v>
      </c>
      <c r="I39" s="50" t="n">
        <f aca="false">((LEN($AQ39)-LEN(SUBSTITUTE($AQ39,CHAR(10)&amp;"! ","")))/3)+IF(LEFT(TRIM($AQ39),2)="! ",1,0)</f>
        <v>0</v>
      </c>
      <c r="J39" s="50" t="n">
        <f aca="false">((LEN($AQ39)-LEN(SUBSTITUTE($AQ39,CHAR(10)&amp;"x ","")))/3)+IF(LEFT(TRIM($AQ39),2)="x ",1,0)</f>
        <v>0</v>
      </c>
      <c r="K39" s="50" t="n">
        <f aca="false">SUM(F39:J39)</f>
        <v>0</v>
      </c>
      <c r="L39" s="51" t="n">
        <f aca="false">YEAR(D39)</f>
        <v>1899</v>
      </c>
      <c r="M39" s="51" t="str">
        <f aca="false">VLOOKUP(MONTH(D39),Static!$AJ$3:$AK$16,2,0)</f>
        <v>Dec</v>
      </c>
      <c r="N39" s="51" t="n">
        <f aca="false">WEEKNUM(D39,1)</f>
        <v>52</v>
      </c>
      <c r="O39" s="51" t="str">
        <f aca="false">IFERROR(INDEX(Static!$I$5:$L$15,MATCH(AF39,Static!$I$5:$I$15,0),3),"Z")</f>
        <v>Z</v>
      </c>
      <c r="P39" s="51" t="str">
        <f aca="false">IFERROR(INDEX(#REF!,MATCH(AN39,#REF!,0),3),"Z")</f>
        <v>Z</v>
      </c>
      <c r="Q39" s="51" t="str">
        <f aca="false">IFERROR(INDEX(Static!$I$5:$L$15,MATCH(AF39,Static!$I$5:$I$15,0),2),"Y")</f>
        <v>Y</v>
      </c>
      <c r="R39" s="51" t="str">
        <f aca="false">IFERROR(INDEX(Static!$I$5:$L$15,MATCH(AF39,Static!$I$5:$I$15,0),4),"Y")</f>
        <v>Y</v>
      </c>
      <c r="S39" s="51" t="str">
        <f aca="false">IF(AND(AJ39&lt;&gt;"",T39="N",$A$1&gt;=AJ39-(7*$D$2)),"Y","N")</f>
        <v>N</v>
      </c>
      <c r="T39" s="51" t="str">
        <f aca="false">IF(AND(AJ39&lt;&gt;"",$A$1&gt;=AJ39),"Y","N")</f>
        <v>N</v>
      </c>
      <c r="U39" s="51" t="str">
        <f aca="false">IF(D39&gt;(($A$1-WEEKDAY($A$1,2))-7*$D$2),"Y","N")</f>
        <v>N</v>
      </c>
      <c r="V39" s="49" t="str">
        <f aca="false">IF(AR39&gt;0,"Y","N")</f>
        <v>N</v>
      </c>
      <c r="W39" s="51" t="str">
        <f aca="false">IF(AND(U39="Y",V39="N"),"Y","N")</f>
        <v>N</v>
      </c>
      <c r="X39" s="52" t="str">
        <f aca="false">IF(OR(S39="Y",AND(V39="Y",T39="Y"), $A$1=AJ39),"Y","N")</f>
        <v>N</v>
      </c>
      <c r="Y39" s="49" t="str">
        <f aca="false">IF(OR(AD39="Y",AD39="N"),AD39,IF(AND(R39="Y", OR(U39="Y",W39="Y", X39="Y")),"Y","N"))</f>
        <v>N</v>
      </c>
      <c r="Z39" s="51" t="str">
        <f aca="false">IF(OR(Q39="Y", V39="Y",X39="Y"),"Y","N")</f>
        <v>Y</v>
      </c>
      <c r="AA39" s="53" t="str">
        <f aca="false">" -  "&amp;O39&amp;AN39</f>
        <v>-  Z</v>
      </c>
      <c r="AB39" s="51" t="str">
        <f aca="false">IFERROR(VLOOKUP(WEEKDAY(AC39),Static!$AL$3:$AM$11,2,0),"")</f>
        <v/>
      </c>
      <c r="AC39" s="49" t="str">
        <f aca="false">IF(AI39&lt;&gt;"",AI39,AV39)</f>
        <v/>
      </c>
      <c r="AD39" s="54"/>
      <c r="AE39" s="54"/>
      <c r="AF39" s="55"/>
      <c r="AG39" s="56"/>
      <c r="AH39" s="56"/>
      <c r="AI39" s="54"/>
      <c r="AJ39" s="54"/>
      <c r="AK39" s="57"/>
      <c r="AL39" s="54"/>
      <c r="AM39" s="54"/>
      <c r="AN39" s="54"/>
      <c r="AO39" s="56"/>
      <c r="AP39" s="56"/>
      <c r="AQ39" s="58"/>
      <c r="AR39" s="51" t="n">
        <f aca="false">SUM(F39:I39)</f>
        <v>0</v>
      </c>
      <c r="AS39" s="59" t="n">
        <f aca="false">IF(AG39="",1,IF(K39&lt;&gt;0,(G39*0.5+J39)/K39,1))</f>
        <v>1</v>
      </c>
      <c r="AT39" s="60" t="str">
        <f aca="false">IF(AP39="","",IF(ISERROR(FIND(CHAR(10),AP39,1)),AP39,LEFT(AP39,FIND(CHAR(10),AP39,1))))</f>
        <v/>
      </c>
      <c r="AU39" s="61" t="str">
        <f aca="false">IF(AP39="","",IFERROR(RIGHT(AP39,LEN(AP39)-FIND("@@@",SUBSTITUTE(AP39,CHAR(10),"@@@",LEN(AP39)-LEN(SUBSTITUTE(AP39,CHAR(10),""))),1)),AP39))</f>
        <v/>
      </c>
      <c r="AV39" s="62" t="str">
        <f aca="false">IFERROR(DATE(("20"&amp;MID(AT39,7,2))*1,MID(AT39,4,2)*1,MID(AT39,1,2)*1),"")</f>
        <v/>
      </c>
      <c r="AW39" s="62" t="str">
        <f aca="false">IFERROR(DATE(("20"&amp;MID(AU39,7,2))*1,MID(AU39,4,2)*1,MID(AU39,1,2)*1),"")</f>
        <v/>
      </c>
      <c r="AX39" s="56" t="s">
        <v>450</v>
      </c>
    </row>
    <row r="40" customFormat="false" ht="12.75" hidden="false" customHeight="true" outlineLevel="0" collapsed="false">
      <c r="B40" s="49" t="str">
        <f aca="false">IF(AL40="","tbc",AL40)</f>
        <v>tbc</v>
      </c>
      <c r="C40" s="49" t="str">
        <f aca="false">IF(AM40="","VNT",AM40)</f>
        <v>VNT</v>
      </c>
      <c r="D40" s="49" t="n">
        <f aca="false">MAX(AC40,IF(AW40="none",AC40,AW40))</f>
        <v>0</v>
      </c>
      <c r="E40" s="50" t="n">
        <f aca="false">IFERROR(DAYS360(AC40,D40),0)</f>
        <v>0</v>
      </c>
      <c r="F40" s="50" t="n">
        <f aca="false">((LEN($AQ40)-LEN(SUBSTITUTE($AQ40,CHAR(10)&amp;". ","")))/3)+IF(LEFT(TRIM($AQ40),2)=". ",1,0)</f>
        <v>0</v>
      </c>
      <c r="G40" s="50" t="n">
        <f aca="false">((LEN($AQ40)-LEN(SUBSTITUTE($AQ40,CHAR(10)&amp;"/ ","")))/3)+IF(LEFT(TRIM($AQ40),2)="/ ",1,0)</f>
        <v>0</v>
      </c>
      <c r="H40" s="50" t="n">
        <f aca="false">((LEN($AQ40)-LEN(SUBSTITUTE($AQ40,CHAR(10)&amp;"~ ","")))/3)+IF(LEFT(TRIM($AQ40),2)="~ ",1,0)</f>
        <v>0</v>
      </c>
      <c r="I40" s="50" t="n">
        <f aca="false">((LEN($AQ40)-LEN(SUBSTITUTE($AQ40,CHAR(10)&amp;"! ","")))/3)+IF(LEFT(TRIM($AQ40),2)="! ",1,0)</f>
        <v>0</v>
      </c>
      <c r="J40" s="50" t="n">
        <f aca="false">((LEN($AQ40)-LEN(SUBSTITUTE($AQ40,CHAR(10)&amp;"x ","")))/3)+IF(LEFT(TRIM($AQ40),2)="x ",1,0)</f>
        <v>0</v>
      </c>
      <c r="K40" s="50" t="n">
        <f aca="false">SUM(F40:J40)</f>
        <v>0</v>
      </c>
      <c r="L40" s="51" t="n">
        <f aca="false">YEAR(D40)</f>
        <v>1899</v>
      </c>
      <c r="M40" s="51" t="str">
        <f aca="false">VLOOKUP(MONTH(D40),Static!$AJ$3:$AK$16,2,0)</f>
        <v>Dec</v>
      </c>
      <c r="N40" s="51" t="n">
        <f aca="false">WEEKNUM(D40,1)</f>
        <v>52</v>
      </c>
      <c r="O40" s="51" t="str">
        <f aca="false">IFERROR(INDEX(Static!$I$5:$L$15,MATCH(AF40,Static!$I$5:$I$15,0),3),"Z")</f>
        <v>Z</v>
      </c>
      <c r="P40" s="51" t="str">
        <f aca="false">IFERROR(INDEX(#REF!,MATCH(AN40,#REF!,0),3),"Z")</f>
        <v>Z</v>
      </c>
      <c r="Q40" s="51" t="str">
        <f aca="false">IFERROR(INDEX(Static!$I$5:$L$15,MATCH(AF40,Static!$I$5:$I$15,0),2),"Y")</f>
        <v>Y</v>
      </c>
      <c r="R40" s="51" t="str">
        <f aca="false">IFERROR(INDEX(Static!$I$5:$L$15,MATCH(AF40,Static!$I$5:$I$15,0),4),"Y")</f>
        <v>Y</v>
      </c>
      <c r="S40" s="51" t="str">
        <f aca="false">IF(AND(AJ40&lt;&gt;"",T40="N",$A$1&gt;=AJ40-(7*$D$2)),"Y","N")</f>
        <v>N</v>
      </c>
      <c r="T40" s="51" t="str">
        <f aca="false">IF(AND(AJ40&lt;&gt;"",$A$1&gt;=AJ40),"Y","N")</f>
        <v>N</v>
      </c>
      <c r="U40" s="51" t="str">
        <f aca="false">IF(D40&gt;(($A$1-WEEKDAY($A$1,2))-7*$D$2),"Y","N")</f>
        <v>N</v>
      </c>
      <c r="V40" s="49" t="str">
        <f aca="false">IF(AR40&gt;0,"Y","N")</f>
        <v>N</v>
      </c>
      <c r="W40" s="51" t="str">
        <f aca="false">IF(AND(U40="Y",V40="N"),"Y","N")</f>
        <v>N</v>
      </c>
      <c r="X40" s="52" t="str">
        <f aca="false">IF(OR(S40="Y",AND(V40="Y",T40="Y"), $A$1=AJ40),"Y","N")</f>
        <v>N</v>
      </c>
      <c r="Y40" s="49" t="str">
        <f aca="false">IF(OR(AD40="Y",AD40="N"),AD40,IF(AND(R40="Y", OR(U40="Y",W40="Y", X40="Y")),"Y","N"))</f>
        <v>N</v>
      </c>
      <c r="Z40" s="51" t="str">
        <f aca="false">IF(OR(Q40="Y", V40="Y",X40="Y"),"Y","N")</f>
        <v>Y</v>
      </c>
      <c r="AA40" s="53" t="str">
        <f aca="false">" -  "&amp;O40&amp;AN40</f>
        <v>-  Z</v>
      </c>
      <c r="AB40" s="51" t="str">
        <f aca="false">IFERROR(VLOOKUP(WEEKDAY(AC40),Static!$AL$3:$AM$11,2,0),"")</f>
        <v/>
      </c>
      <c r="AC40" s="49" t="str">
        <f aca="false">IF(AI40&lt;&gt;"",AI40,AV40)</f>
        <v/>
      </c>
      <c r="AD40" s="54"/>
      <c r="AE40" s="54"/>
      <c r="AF40" s="55"/>
      <c r="AG40" s="56"/>
      <c r="AH40" s="56"/>
      <c r="AI40" s="54"/>
      <c r="AJ40" s="54"/>
      <c r="AK40" s="57"/>
      <c r="AL40" s="54"/>
      <c r="AM40" s="54"/>
      <c r="AN40" s="54"/>
      <c r="AO40" s="56"/>
      <c r="AP40" s="56"/>
      <c r="AQ40" s="58"/>
      <c r="AR40" s="51" t="n">
        <f aca="false">SUM(F40:I40)</f>
        <v>0</v>
      </c>
      <c r="AS40" s="59" t="n">
        <f aca="false">IF(AG40="",1,IF(K40&lt;&gt;0,(G40*0.5+J40)/K40,1))</f>
        <v>1</v>
      </c>
      <c r="AT40" s="60" t="str">
        <f aca="false">IF(AP40="","",IF(ISERROR(FIND(CHAR(10),AP40,1)),AP40,LEFT(AP40,FIND(CHAR(10),AP40,1))))</f>
        <v/>
      </c>
      <c r="AU40" s="61" t="str">
        <f aca="false">IF(AP40="","",IFERROR(RIGHT(AP40,LEN(AP40)-FIND("@@@",SUBSTITUTE(AP40,CHAR(10),"@@@",LEN(AP40)-LEN(SUBSTITUTE(AP40,CHAR(10),""))),1)),AP40))</f>
        <v/>
      </c>
      <c r="AV40" s="62" t="str">
        <f aca="false">IFERROR(DATE(("20"&amp;MID(AT40,7,2))*1,MID(AT40,4,2)*1,MID(AT40,1,2)*1),"")</f>
        <v/>
      </c>
      <c r="AW40" s="62" t="str">
        <f aca="false">IFERROR(DATE(("20"&amp;MID(AU40,7,2))*1,MID(AU40,4,2)*1,MID(AU40,1,2)*1),"")</f>
        <v/>
      </c>
      <c r="AX40" s="56" t="s">
        <v>450</v>
      </c>
    </row>
    <row r="41" customFormat="false" ht="12.75" hidden="false" customHeight="true" outlineLevel="0" collapsed="false">
      <c r="B41" s="49" t="str">
        <f aca="false">IF(AL41="","tbc",AL41)</f>
        <v>tbc</v>
      </c>
      <c r="C41" s="49" t="str">
        <f aca="false">IF(AM41="","VNT",AM41)</f>
        <v>VNT</v>
      </c>
      <c r="D41" s="49" t="n">
        <f aca="false">MAX(AC41,IF(AW41="none",AC41,AW41))</f>
        <v>0</v>
      </c>
      <c r="E41" s="50" t="n">
        <f aca="false">IFERROR(DAYS360(AC41,D41),0)</f>
        <v>0</v>
      </c>
      <c r="F41" s="50" t="n">
        <f aca="false">((LEN($AQ41)-LEN(SUBSTITUTE($AQ41,CHAR(10)&amp;". ","")))/3)+IF(LEFT(TRIM($AQ41),2)=". ",1,0)</f>
        <v>0</v>
      </c>
      <c r="G41" s="50" t="n">
        <f aca="false">((LEN($AQ41)-LEN(SUBSTITUTE($AQ41,CHAR(10)&amp;"/ ","")))/3)+IF(LEFT(TRIM($AQ41),2)="/ ",1,0)</f>
        <v>0</v>
      </c>
      <c r="H41" s="50" t="n">
        <f aca="false">((LEN($AQ41)-LEN(SUBSTITUTE($AQ41,CHAR(10)&amp;"~ ","")))/3)+IF(LEFT(TRIM($AQ41),2)="~ ",1,0)</f>
        <v>0</v>
      </c>
      <c r="I41" s="50" t="n">
        <f aca="false">((LEN($AQ41)-LEN(SUBSTITUTE($AQ41,CHAR(10)&amp;"! ","")))/3)+IF(LEFT(TRIM($AQ41),2)="! ",1,0)</f>
        <v>0</v>
      </c>
      <c r="J41" s="50" t="n">
        <f aca="false">((LEN($AQ41)-LEN(SUBSTITUTE($AQ41,CHAR(10)&amp;"x ","")))/3)+IF(LEFT(TRIM($AQ41),2)="x ",1,0)</f>
        <v>0</v>
      </c>
      <c r="K41" s="50" t="n">
        <f aca="false">SUM(F41:J41)</f>
        <v>0</v>
      </c>
      <c r="L41" s="51" t="n">
        <f aca="false">YEAR(D41)</f>
        <v>1899</v>
      </c>
      <c r="M41" s="51" t="str">
        <f aca="false">VLOOKUP(MONTH(D41),Static!$AJ$3:$AK$16,2,0)</f>
        <v>Dec</v>
      </c>
      <c r="N41" s="51" t="n">
        <f aca="false">WEEKNUM(D41,1)</f>
        <v>52</v>
      </c>
      <c r="O41" s="51" t="str">
        <f aca="false">IFERROR(INDEX(Static!$I$5:$L$15,MATCH(AF41,Static!$I$5:$I$15,0),3),"Z")</f>
        <v>Z</v>
      </c>
      <c r="P41" s="51" t="str">
        <f aca="false">IFERROR(INDEX(#REF!,MATCH(AN41,#REF!,0),3),"Z")</f>
        <v>Z</v>
      </c>
      <c r="Q41" s="51" t="str">
        <f aca="false">IFERROR(INDEX(Static!$I$5:$L$15,MATCH(AF41,Static!$I$5:$I$15,0),2),"Y")</f>
        <v>Y</v>
      </c>
      <c r="R41" s="51" t="str">
        <f aca="false">IFERROR(INDEX(Static!$I$5:$L$15,MATCH(AF41,Static!$I$5:$I$15,0),4),"Y")</f>
        <v>Y</v>
      </c>
      <c r="S41" s="51" t="str">
        <f aca="false">IF(AND(AJ41&lt;&gt;"",T41="N",$A$1&gt;=AJ41-(7*$D$2)),"Y","N")</f>
        <v>N</v>
      </c>
      <c r="T41" s="51" t="str">
        <f aca="false">IF(AND(AJ41&lt;&gt;"",$A$1&gt;=AJ41),"Y","N")</f>
        <v>N</v>
      </c>
      <c r="U41" s="51" t="str">
        <f aca="false">IF(D41&gt;(($A$1-WEEKDAY($A$1,2))-7*$D$2),"Y","N")</f>
        <v>N</v>
      </c>
      <c r="V41" s="49" t="str">
        <f aca="false">IF(AR41&gt;0,"Y","N")</f>
        <v>N</v>
      </c>
      <c r="W41" s="51" t="str">
        <f aca="false">IF(AND(U41="Y",V41="N"),"Y","N")</f>
        <v>N</v>
      </c>
      <c r="X41" s="52" t="str">
        <f aca="false">IF(OR(S41="Y",AND(V41="Y",T41="Y"), $A$1=AJ41),"Y","N")</f>
        <v>N</v>
      </c>
      <c r="Y41" s="49" t="str">
        <f aca="false">IF(OR(AD41="Y",AD41="N"),AD41,IF(AND(R41="Y", OR(U41="Y",W41="Y", X41="Y")),"Y","N"))</f>
        <v>N</v>
      </c>
      <c r="Z41" s="51" t="str">
        <f aca="false">IF(OR(Q41="Y", V41="Y",X41="Y"),"Y","N")</f>
        <v>Y</v>
      </c>
      <c r="AA41" s="53" t="str">
        <f aca="false">" -  "&amp;O41&amp;AN41</f>
        <v>-  Z</v>
      </c>
      <c r="AB41" s="51" t="str">
        <f aca="false">IFERROR(VLOOKUP(WEEKDAY(AC41),Static!$AL$3:$AM$11,2,0),"")</f>
        <v/>
      </c>
      <c r="AC41" s="49" t="str">
        <f aca="false">IF(AI41&lt;&gt;"",AI41,AV41)</f>
        <v/>
      </c>
      <c r="AD41" s="54"/>
      <c r="AE41" s="54"/>
      <c r="AF41" s="55"/>
      <c r="AG41" s="56"/>
      <c r="AH41" s="56"/>
      <c r="AI41" s="54"/>
      <c r="AJ41" s="54"/>
      <c r="AK41" s="57"/>
      <c r="AL41" s="54"/>
      <c r="AM41" s="54"/>
      <c r="AN41" s="54"/>
      <c r="AO41" s="56"/>
      <c r="AP41" s="56"/>
      <c r="AQ41" s="56"/>
      <c r="AR41" s="51" t="n">
        <f aca="false">SUM(F41:I41)</f>
        <v>0</v>
      </c>
      <c r="AS41" s="59" t="n">
        <f aca="false">IF(AG41="",1,IF(K41&lt;&gt;0,(G41*0.5+J41)/K41,1))</f>
        <v>1</v>
      </c>
      <c r="AT41" s="60" t="str">
        <f aca="false">IF(AP41="","",IF(ISERROR(FIND(CHAR(10),AP41,1)),AP41,LEFT(AP41,FIND(CHAR(10),AP41,1))))</f>
        <v/>
      </c>
      <c r="AU41" s="61" t="str">
        <f aca="false">IF(AP41="","",IFERROR(RIGHT(AP41,LEN(AP41)-FIND("@@@",SUBSTITUTE(AP41,CHAR(10),"@@@",LEN(AP41)-LEN(SUBSTITUTE(AP41,CHAR(10),""))),1)),AP41))</f>
        <v/>
      </c>
      <c r="AV41" s="62" t="str">
        <f aca="false">IFERROR(DATE(("20"&amp;MID(AT41,7,2))*1,MID(AT41,4,2)*1,MID(AT41,1,2)*1),"")</f>
        <v/>
      </c>
      <c r="AW41" s="62" t="str">
        <f aca="false">IFERROR(DATE(("20"&amp;MID(AU41,7,2))*1,MID(AU41,4,2)*1,MID(AU41,1,2)*1),"")</f>
        <v/>
      </c>
      <c r="AX41" s="56" t="s">
        <v>450</v>
      </c>
    </row>
    <row r="42" customFormat="false" ht="12.75" hidden="false" customHeight="true" outlineLevel="0" collapsed="false">
      <c r="B42" s="49" t="str">
        <f aca="false">IF(AL42="","tbc",AL42)</f>
        <v>tbc</v>
      </c>
      <c r="C42" s="49" t="str">
        <f aca="false">IF(AM42="","VNT",AM42)</f>
        <v>VNT</v>
      </c>
      <c r="D42" s="49" t="n">
        <f aca="false">MAX(AC42,IF(AW42="none",AC42,AW42))</f>
        <v>0</v>
      </c>
      <c r="E42" s="50" t="n">
        <f aca="false">IFERROR(DAYS360(AC42,D42),0)</f>
        <v>0</v>
      </c>
      <c r="F42" s="50" t="n">
        <f aca="false">((LEN($AQ42)-LEN(SUBSTITUTE($AQ42,CHAR(10)&amp;". ","")))/3)+IF(LEFT(TRIM($AQ42),2)=". ",1,0)</f>
        <v>0</v>
      </c>
      <c r="G42" s="50" t="n">
        <f aca="false">((LEN($AQ42)-LEN(SUBSTITUTE($AQ42,CHAR(10)&amp;"/ ","")))/3)+IF(LEFT(TRIM($AQ42),2)="/ ",1,0)</f>
        <v>0</v>
      </c>
      <c r="H42" s="50" t="n">
        <f aca="false">((LEN($AQ42)-LEN(SUBSTITUTE($AQ42,CHAR(10)&amp;"~ ","")))/3)+IF(LEFT(TRIM($AQ42),2)="~ ",1,0)</f>
        <v>0</v>
      </c>
      <c r="I42" s="50" t="n">
        <f aca="false">((LEN($AQ42)-LEN(SUBSTITUTE($AQ42,CHAR(10)&amp;"! ","")))/3)+IF(LEFT(TRIM($AQ42),2)="! ",1,0)</f>
        <v>0</v>
      </c>
      <c r="J42" s="50" t="n">
        <f aca="false">((LEN($AQ42)-LEN(SUBSTITUTE($AQ42,CHAR(10)&amp;"x ","")))/3)+IF(LEFT(TRIM($AQ42),2)="x ",1,0)</f>
        <v>0</v>
      </c>
      <c r="K42" s="50" t="n">
        <f aca="false">SUM(F42:J42)</f>
        <v>0</v>
      </c>
      <c r="L42" s="51" t="n">
        <f aca="false">YEAR(D42)</f>
        <v>1899</v>
      </c>
      <c r="M42" s="51" t="str">
        <f aca="false">VLOOKUP(MONTH(D42),Static!$AJ$3:$AK$16,2,0)</f>
        <v>Dec</v>
      </c>
      <c r="N42" s="51" t="n">
        <f aca="false">WEEKNUM(D42,1)</f>
        <v>52</v>
      </c>
      <c r="O42" s="51" t="str">
        <f aca="false">IFERROR(INDEX(Static!$I$5:$L$15,MATCH(AF42,Static!$I$5:$I$15,0),3),"Z")</f>
        <v>Z</v>
      </c>
      <c r="P42" s="51" t="str">
        <f aca="false">IFERROR(INDEX(#REF!,MATCH(AN42,#REF!,0),3),"Z")</f>
        <v>Z</v>
      </c>
      <c r="Q42" s="51" t="str">
        <f aca="false">IFERROR(INDEX(Static!$I$5:$L$15,MATCH(AF42,Static!$I$5:$I$15,0),2),"Y")</f>
        <v>Y</v>
      </c>
      <c r="R42" s="51" t="str">
        <f aca="false">IFERROR(INDEX(Static!$I$5:$L$15,MATCH(AF42,Static!$I$5:$I$15,0),4),"Y")</f>
        <v>Y</v>
      </c>
      <c r="S42" s="51" t="str">
        <f aca="false">IF(AND(AJ42&lt;&gt;"",T42="N",$A$1&gt;=AJ42-(7*$D$2)),"Y","N")</f>
        <v>N</v>
      </c>
      <c r="T42" s="51" t="str">
        <f aca="false">IF(AND(AJ42&lt;&gt;"",$A$1&gt;=AJ42),"Y","N")</f>
        <v>N</v>
      </c>
      <c r="U42" s="51" t="str">
        <f aca="false">IF(D42&gt;(($A$1-WEEKDAY($A$1,2))-7*$D$2),"Y","N")</f>
        <v>N</v>
      </c>
      <c r="V42" s="49" t="str">
        <f aca="false">IF(AR42&gt;0,"Y","N")</f>
        <v>N</v>
      </c>
      <c r="W42" s="51" t="str">
        <f aca="false">IF(AND(U42="Y",V42="N"),"Y","N")</f>
        <v>N</v>
      </c>
      <c r="X42" s="52" t="str">
        <f aca="false">IF(OR(S42="Y",AND(V42="Y",T42="Y"), $A$1=AJ42),"Y","N")</f>
        <v>N</v>
      </c>
      <c r="Y42" s="49" t="str">
        <f aca="false">IF(OR(AD42="Y",AD42="N"),AD42,IF(AND(R42="Y", OR(U42="Y",W42="Y", X42="Y")),"Y","N"))</f>
        <v>N</v>
      </c>
      <c r="Z42" s="51" t="str">
        <f aca="false">IF(OR(Q42="Y", V42="Y",X42="Y"),"Y","N")</f>
        <v>Y</v>
      </c>
      <c r="AA42" s="53" t="str">
        <f aca="false">" -  "&amp;O42&amp;AN42</f>
        <v>-  Z</v>
      </c>
      <c r="AB42" s="51" t="str">
        <f aca="false">IFERROR(VLOOKUP(WEEKDAY(AC42),Static!$AL$3:$AM$11,2,0),"")</f>
        <v/>
      </c>
      <c r="AC42" s="49" t="str">
        <f aca="false">IF(AI42&lt;&gt;"",AI42,AV42)</f>
        <v/>
      </c>
      <c r="AD42" s="54"/>
      <c r="AE42" s="54"/>
      <c r="AF42" s="55"/>
      <c r="AG42" s="56"/>
      <c r="AH42" s="56"/>
      <c r="AI42" s="54"/>
      <c r="AJ42" s="54"/>
      <c r="AK42" s="57"/>
      <c r="AL42" s="54"/>
      <c r="AM42" s="54"/>
      <c r="AN42" s="54"/>
      <c r="AO42" s="56"/>
      <c r="AP42" s="56"/>
      <c r="AQ42" s="58"/>
      <c r="AR42" s="51" t="n">
        <f aca="false">SUM(F42:I42)</f>
        <v>0</v>
      </c>
      <c r="AS42" s="59" t="n">
        <f aca="false">IF(AG42="",1,IF(K42&lt;&gt;0,(G42*0.5+J42)/K42,1))</f>
        <v>1</v>
      </c>
      <c r="AT42" s="60" t="str">
        <f aca="false">IF(AP42="","",IF(ISERROR(FIND(CHAR(10),AP42,1)),AP42,LEFT(AP42,FIND(CHAR(10),AP42,1))))</f>
        <v/>
      </c>
      <c r="AU42" s="61" t="str">
        <f aca="false">IF(AP42="","",IFERROR(RIGHT(AP42,LEN(AP42)-FIND("@@@",SUBSTITUTE(AP42,CHAR(10),"@@@",LEN(AP42)-LEN(SUBSTITUTE(AP42,CHAR(10),""))),1)),AP42))</f>
        <v/>
      </c>
      <c r="AV42" s="62" t="str">
        <f aca="false">IFERROR(DATE(("20"&amp;MID(AT42,7,2))*1,MID(AT42,4,2)*1,MID(AT42,1,2)*1),"")</f>
        <v/>
      </c>
      <c r="AW42" s="62" t="str">
        <f aca="false">IFERROR(DATE(("20"&amp;MID(AU42,7,2))*1,MID(AU42,4,2)*1,MID(AU42,1,2)*1),"")</f>
        <v/>
      </c>
      <c r="AX42" s="56" t="s">
        <v>450</v>
      </c>
    </row>
    <row r="43" customFormat="false" ht="12.75" hidden="false" customHeight="true" outlineLevel="0" collapsed="false">
      <c r="B43" s="49" t="str">
        <f aca="false">IF(AL43="","tbc",AL43)</f>
        <v>tbc</v>
      </c>
      <c r="C43" s="49" t="str">
        <f aca="false">IF(AM43="","VNT",AM43)</f>
        <v>VNT</v>
      </c>
      <c r="D43" s="49" t="n">
        <f aca="false">MAX(AC43,IF(AW43="none",AC43,AW43))</f>
        <v>0</v>
      </c>
      <c r="E43" s="50" t="n">
        <f aca="false">IFERROR(DAYS360(AC43,D43),0)</f>
        <v>0</v>
      </c>
      <c r="F43" s="50" t="n">
        <f aca="false">((LEN($AQ43)-LEN(SUBSTITUTE($AQ43,CHAR(10)&amp;". ","")))/3)+IF(LEFT(TRIM($AQ43),2)=". ",1,0)</f>
        <v>0</v>
      </c>
      <c r="G43" s="50" t="n">
        <f aca="false">((LEN($AQ43)-LEN(SUBSTITUTE($AQ43,CHAR(10)&amp;"/ ","")))/3)+IF(LEFT(TRIM($AQ43),2)="/ ",1,0)</f>
        <v>0</v>
      </c>
      <c r="H43" s="50" t="n">
        <f aca="false">((LEN($AQ43)-LEN(SUBSTITUTE($AQ43,CHAR(10)&amp;"~ ","")))/3)+IF(LEFT(TRIM($AQ43),2)="~ ",1,0)</f>
        <v>0</v>
      </c>
      <c r="I43" s="50" t="n">
        <f aca="false">((LEN($AQ43)-LEN(SUBSTITUTE($AQ43,CHAR(10)&amp;"! ","")))/3)+IF(LEFT(TRIM($AQ43),2)="! ",1,0)</f>
        <v>0</v>
      </c>
      <c r="J43" s="50" t="n">
        <f aca="false">((LEN($AQ43)-LEN(SUBSTITUTE($AQ43,CHAR(10)&amp;"x ","")))/3)+IF(LEFT(TRIM($AQ43),2)="x ",1,0)</f>
        <v>0</v>
      </c>
      <c r="K43" s="50" t="n">
        <f aca="false">SUM(F43:J43)</f>
        <v>0</v>
      </c>
      <c r="L43" s="51" t="n">
        <f aca="false">YEAR(D43)</f>
        <v>1899</v>
      </c>
      <c r="M43" s="51" t="str">
        <f aca="false">VLOOKUP(MONTH(D43),Static!$AJ$3:$AK$16,2,0)</f>
        <v>Dec</v>
      </c>
      <c r="N43" s="51" t="n">
        <f aca="false">WEEKNUM(D43,1)</f>
        <v>52</v>
      </c>
      <c r="O43" s="51" t="str">
        <f aca="false">IFERROR(INDEX(Static!$I$5:$L$15,MATCH(AF43,Static!$I$5:$I$15,0),3),"Z")</f>
        <v>Z</v>
      </c>
      <c r="P43" s="51" t="str">
        <f aca="false">IFERROR(INDEX(#REF!,MATCH(AN43,#REF!,0),3),"Z")</f>
        <v>Z</v>
      </c>
      <c r="Q43" s="51" t="str">
        <f aca="false">IFERROR(INDEX(Static!$I$5:$L$15,MATCH(AF43,Static!$I$5:$I$15,0),2),"Y")</f>
        <v>Y</v>
      </c>
      <c r="R43" s="51" t="str">
        <f aca="false">IFERROR(INDEX(Static!$I$5:$L$15,MATCH(AF43,Static!$I$5:$I$15,0),4),"Y")</f>
        <v>Y</v>
      </c>
      <c r="S43" s="51" t="str">
        <f aca="false">IF(AND(AJ43&lt;&gt;"",T43="N",$A$1&gt;=AJ43-(7*$D$2)),"Y","N")</f>
        <v>N</v>
      </c>
      <c r="T43" s="51" t="str">
        <f aca="false">IF(AND(AJ43&lt;&gt;"",$A$1&gt;=AJ43),"Y","N")</f>
        <v>N</v>
      </c>
      <c r="U43" s="51" t="str">
        <f aca="false">IF(D43&gt;(($A$1-WEEKDAY($A$1,2))-7*$D$2),"Y","N")</f>
        <v>N</v>
      </c>
      <c r="V43" s="49" t="str">
        <f aca="false">IF(AR43&gt;0,"Y","N")</f>
        <v>N</v>
      </c>
      <c r="W43" s="51" t="str">
        <f aca="false">IF(AND(U43="Y",V43="N"),"Y","N")</f>
        <v>N</v>
      </c>
      <c r="X43" s="52" t="str">
        <f aca="false">IF(OR(S43="Y",AND(V43="Y",T43="Y"), $A$1=AJ43),"Y","N")</f>
        <v>N</v>
      </c>
      <c r="Y43" s="49" t="str">
        <f aca="false">IF(OR(AD43="Y",AD43="N"),AD43,IF(AND(R43="Y", OR(U43="Y",W43="Y", X43="Y")),"Y","N"))</f>
        <v>N</v>
      </c>
      <c r="Z43" s="51" t="str">
        <f aca="false">IF(OR(Q43="Y", V43="Y",X43="Y"),"Y","N")</f>
        <v>Y</v>
      </c>
      <c r="AA43" s="53" t="str">
        <f aca="false">" -  "&amp;O43&amp;AN43</f>
        <v>-  Z</v>
      </c>
      <c r="AB43" s="51" t="str">
        <f aca="false">IFERROR(VLOOKUP(WEEKDAY(AC43),Static!$AL$3:$AM$11,2,0),"")</f>
        <v/>
      </c>
      <c r="AC43" s="49" t="str">
        <f aca="false">IF(AI43&lt;&gt;"",AI43,AV43)</f>
        <v/>
      </c>
      <c r="AD43" s="54"/>
      <c r="AE43" s="54"/>
      <c r="AF43" s="55"/>
      <c r="AG43" s="56"/>
      <c r="AH43" s="56"/>
      <c r="AI43" s="54"/>
      <c r="AJ43" s="54"/>
      <c r="AK43" s="57"/>
      <c r="AL43" s="54"/>
      <c r="AM43" s="54"/>
      <c r="AN43" s="54"/>
      <c r="AO43" s="56"/>
      <c r="AP43" s="56"/>
      <c r="AQ43" s="58"/>
      <c r="AR43" s="51" t="n">
        <f aca="false">SUM(F43:I43)</f>
        <v>0</v>
      </c>
      <c r="AS43" s="59" t="n">
        <f aca="false">IF(AG43="",1,IF(K43&lt;&gt;0,(G43*0.5+J43)/K43,1))</f>
        <v>1</v>
      </c>
      <c r="AT43" s="60" t="str">
        <f aca="false">IF(AP43="","",IF(ISERROR(FIND(CHAR(10),AP43,1)),AP43,LEFT(AP43,FIND(CHAR(10),AP43,1))))</f>
        <v/>
      </c>
      <c r="AU43" s="61" t="str">
        <f aca="false">IF(AP43="","",IFERROR(RIGHT(AP43,LEN(AP43)-FIND("@@@",SUBSTITUTE(AP43,CHAR(10),"@@@",LEN(AP43)-LEN(SUBSTITUTE(AP43,CHAR(10),""))),1)),AP43))</f>
        <v/>
      </c>
      <c r="AV43" s="62" t="str">
        <f aca="false">IFERROR(DATE(("20"&amp;MID(AT43,7,2))*1,MID(AT43,4,2)*1,MID(AT43,1,2)*1),"")</f>
        <v/>
      </c>
      <c r="AW43" s="62" t="str">
        <f aca="false">IFERROR(DATE(("20"&amp;MID(AU43,7,2))*1,MID(AU43,4,2)*1,MID(AU43,1,2)*1),"")</f>
        <v/>
      </c>
      <c r="AX43" s="56" t="s">
        <v>450</v>
      </c>
    </row>
    <row r="44" customFormat="false" ht="12.75" hidden="false" customHeight="true" outlineLevel="0" collapsed="false">
      <c r="B44" s="49" t="str">
        <f aca="false">IF(AL44="","tbc",AL44)</f>
        <v>tbc</v>
      </c>
      <c r="C44" s="49" t="str">
        <f aca="false">IF(AM44="","VNT",AM44)</f>
        <v>VNT</v>
      </c>
      <c r="D44" s="49" t="n">
        <f aca="false">MAX(AC44,IF(AW44="none",AC44,AW44))</f>
        <v>0</v>
      </c>
      <c r="E44" s="50" t="n">
        <f aca="false">IFERROR(DAYS360(AC44,D44),0)</f>
        <v>0</v>
      </c>
      <c r="F44" s="50" t="n">
        <f aca="false">((LEN($AQ44)-LEN(SUBSTITUTE($AQ44,CHAR(10)&amp;". ","")))/3)+IF(LEFT(TRIM($AQ44),2)=". ",1,0)</f>
        <v>0</v>
      </c>
      <c r="G44" s="50" t="n">
        <f aca="false">((LEN($AQ44)-LEN(SUBSTITUTE($AQ44,CHAR(10)&amp;"/ ","")))/3)+IF(LEFT(TRIM($AQ44),2)="/ ",1,0)</f>
        <v>0</v>
      </c>
      <c r="H44" s="50" t="n">
        <f aca="false">((LEN($AQ44)-LEN(SUBSTITUTE($AQ44,CHAR(10)&amp;"~ ","")))/3)+IF(LEFT(TRIM($AQ44),2)="~ ",1,0)</f>
        <v>0</v>
      </c>
      <c r="I44" s="50" t="n">
        <f aca="false">((LEN($AQ44)-LEN(SUBSTITUTE($AQ44,CHAR(10)&amp;"! ","")))/3)+IF(LEFT(TRIM($AQ44),2)="! ",1,0)</f>
        <v>0</v>
      </c>
      <c r="J44" s="50" t="n">
        <f aca="false">((LEN($AQ44)-LEN(SUBSTITUTE($AQ44,CHAR(10)&amp;"x ","")))/3)+IF(LEFT(TRIM($AQ44),2)="x ",1,0)</f>
        <v>0</v>
      </c>
      <c r="K44" s="50" t="n">
        <f aca="false">SUM(F44:J44)</f>
        <v>0</v>
      </c>
      <c r="L44" s="51" t="n">
        <f aca="false">YEAR(D44)</f>
        <v>1899</v>
      </c>
      <c r="M44" s="51" t="str">
        <f aca="false">VLOOKUP(MONTH(D44),Static!$AJ$3:$AK$16,2,0)</f>
        <v>Dec</v>
      </c>
      <c r="N44" s="51" t="n">
        <f aca="false">WEEKNUM(D44,1)</f>
        <v>52</v>
      </c>
      <c r="O44" s="51" t="str">
        <f aca="false">IFERROR(INDEX(Static!$I$5:$L$15,MATCH(AF44,Static!$I$5:$I$15,0),3),"Z")</f>
        <v>Z</v>
      </c>
      <c r="P44" s="51" t="str">
        <f aca="false">IFERROR(INDEX(#REF!,MATCH(AN44,#REF!,0),3),"Z")</f>
        <v>Z</v>
      </c>
      <c r="Q44" s="51" t="str">
        <f aca="false">IFERROR(INDEX(Static!$I$5:$L$15,MATCH(AF44,Static!$I$5:$I$15,0),2),"Y")</f>
        <v>Y</v>
      </c>
      <c r="R44" s="51" t="str">
        <f aca="false">IFERROR(INDEX(Static!$I$5:$L$15,MATCH(AF44,Static!$I$5:$I$15,0),4),"Y")</f>
        <v>Y</v>
      </c>
      <c r="S44" s="51" t="str">
        <f aca="false">IF(AND(AJ44&lt;&gt;"",T44="N",$A$1&gt;=AJ44-(7*$D$2)),"Y","N")</f>
        <v>N</v>
      </c>
      <c r="T44" s="51" t="str">
        <f aca="false">IF(AND(AJ44&lt;&gt;"",$A$1&gt;=AJ44),"Y","N")</f>
        <v>N</v>
      </c>
      <c r="U44" s="51" t="str">
        <f aca="false">IF(D44&gt;(($A$1-WEEKDAY($A$1,2))-7*$D$2),"Y","N")</f>
        <v>N</v>
      </c>
      <c r="V44" s="49" t="str">
        <f aca="false">IF(AR44&gt;0,"Y","N")</f>
        <v>N</v>
      </c>
      <c r="W44" s="51" t="str">
        <f aca="false">IF(AND(U44="Y",V44="N"),"Y","N")</f>
        <v>N</v>
      </c>
      <c r="X44" s="52" t="str">
        <f aca="false">IF(OR(S44="Y",AND(V44="Y",T44="Y"), $A$1=AJ44),"Y","N")</f>
        <v>N</v>
      </c>
      <c r="Y44" s="49" t="str">
        <f aca="false">IF(OR(AD44="Y",AD44="N"),AD44,IF(AND(R44="Y", OR(U44="Y",W44="Y", X44="Y")),"Y","N"))</f>
        <v>N</v>
      </c>
      <c r="Z44" s="51" t="str">
        <f aca="false">IF(OR(Q44="Y", V44="Y",X44="Y"),"Y","N")</f>
        <v>Y</v>
      </c>
      <c r="AA44" s="53" t="str">
        <f aca="false">" -  "&amp;O44&amp;AN44</f>
        <v>-  Z</v>
      </c>
      <c r="AB44" s="51" t="str">
        <f aca="false">IFERROR(VLOOKUP(WEEKDAY(AC44),Static!$AL$3:$AM$11,2,0),"")</f>
        <v/>
      </c>
      <c r="AC44" s="49" t="str">
        <f aca="false">IF(AI44&lt;&gt;"",AI44,AV44)</f>
        <v/>
      </c>
      <c r="AD44" s="54"/>
      <c r="AE44" s="54"/>
      <c r="AF44" s="55"/>
      <c r="AG44" s="56"/>
      <c r="AH44" s="56"/>
      <c r="AI44" s="54"/>
      <c r="AJ44" s="54"/>
      <c r="AK44" s="57"/>
      <c r="AL44" s="54"/>
      <c r="AM44" s="54"/>
      <c r="AN44" s="54"/>
      <c r="AO44" s="56"/>
      <c r="AP44" s="56"/>
      <c r="AQ44" s="56"/>
      <c r="AR44" s="51" t="n">
        <f aca="false">SUM(F44:I44)</f>
        <v>0</v>
      </c>
      <c r="AS44" s="59" t="n">
        <f aca="false">IF(AG44="",1,IF(K44&lt;&gt;0,(G44*0.5+J44)/K44,1))</f>
        <v>1</v>
      </c>
      <c r="AT44" s="60" t="str">
        <f aca="false">IF(AP44="","",IF(ISERROR(FIND(CHAR(10),AP44,1)),AP44,LEFT(AP44,FIND(CHAR(10),AP44,1))))</f>
        <v/>
      </c>
      <c r="AU44" s="61" t="str">
        <f aca="false">IF(AP44="","",IFERROR(RIGHT(AP44,LEN(AP44)-FIND("@@@",SUBSTITUTE(AP44,CHAR(10),"@@@",LEN(AP44)-LEN(SUBSTITUTE(AP44,CHAR(10),""))),1)),AP44))</f>
        <v/>
      </c>
      <c r="AV44" s="62" t="str">
        <f aca="false">IFERROR(DATE(("20"&amp;MID(AT44,7,2))*1,MID(AT44,4,2)*1,MID(AT44,1,2)*1),"")</f>
        <v/>
      </c>
      <c r="AW44" s="62" t="str">
        <f aca="false">IFERROR(DATE(("20"&amp;MID(AU44,7,2))*1,MID(AU44,4,2)*1,MID(AU44,1,2)*1),"")</f>
        <v/>
      </c>
      <c r="AX44" s="56" t="s">
        <v>450</v>
      </c>
    </row>
    <row r="45" customFormat="false" ht="12.75" hidden="false" customHeight="true" outlineLevel="0" collapsed="false">
      <c r="B45" s="49" t="str">
        <f aca="false">IF(AL45="","tbc",AL45)</f>
        <v>tbc</v>
      </c>
      <c r="C45" s="49" t="str">
        <f aca="false">IF(AM45="","VNT",AM45)</f>
        <v>VNT</v>
      </c>
      <c r="D45" s="49" t="n">
        <f aca="false">MAX(AC45,IF(AW45="none",AC45,AW45))</f>
        <v>0</v>
      </c>
      <c r="E45" s="50" t="n">
        <f aca="false">IFERROR(DAYS360(AC45,D45),0)</f>
        <v>0</v>
      </c>
      <c r="F45" s="50" t="n">
        <f aca="false">((LEN($AQ45)-LEN(SUBSTITUTE($AQ45,CHAR(10)&amp;". ","")))/3)+IF(LEFT(TRIM($AQ45),2)=". ",1,0)</f>
        <v>0</v>
      </c>
      <c r="G45" s="50" t="n">
        <f aca="false">((LEN($AQ45)-LEN(SUBSTITUTE($AQ45,CHAR(10)&amp;"/ ","")))/3)+IF(LEFT(TRIM($AQ45),2)="/ ",1,0)</f>
        <v>0</v>
      </c>
      <c r="H45" s="50" t="n">
        <f aca="false">((LEN($AQ45)-LEN(SUBSTITUTE($AQ45,CHAR(10)&amp;"~ ","")))/3)+IF(LEFT(TRIM($AQ45),2)="~ ",1,0)</f>
        <v>0</v>
      </c>
      <c r="I45" s="50" t="n">
        <f aca="false">((LEN($AQ45)-LEN(SUBSTITUTE($AQ45,CHAR(10)&amp;"! ","")))/3)+IF(LEFT(TRIM($AQ45),2)="! ",1,0)</f>
        <v>0</v>
      </c>
      <c r="J45" s="50" t="n">
        <f aca="false">((LEN($AQ45)-LEN(SUBSTITUTE($AQ45,CHAR(10)&amp;"x ","")))/3)+IF(LEFT(TRIM($AQ45),2)="x ",1,0)</f>
        <v>0</v>
      </c>
      <c r="K45" s="50" t="n">
        <f aca="false">SUM(F45:J45)</f>
        <v>0</v>
      </c>
      <c r="L45" s="51" t="n">
        <f aca="false">YEAR(D45)</f>
        <v>1899</v>
      </c>
      <c r="M45" s="51" t="str">
        <f aca="false">VLOOKUP(MONTH(D45),Static!$AJ$3:$AK$16,2,0)</f>
        <v>Dec</v>
      </c>
      <c r="N45" s="51" t="n">
        <f aca="false">WEEKNUM(D45,1)</f>
        <v>52</v>
      </c>
      <c r="O45" s="51" t="str">
        <f aca="false">IFERROR(INDEX(Static!$I$5:$L$15,MATCH(AF45,Static!$I$5:$I$15,0),3),"Z")</f>
        <v>Z</v>
      </c>
      <c r="P45" s="51" t="str">
        <f aca="false">IFERROR(INDEX(#REF!,MATCH(AN45,#REF!,0),3),"Z")</f>
        <v>Z</v>
      </c>
      <c r="Q45" s="51" t="str">
        <f aca="false">IFERROR(INDEX(Static!$I$5:$L$15,MATCH(AF45,Static!$I$5:$I$15,0),2),"Y")</f>
        <v>Y</v>
      </c>
      <c r="R45" s="51" t="str">
        <f aca="false">IFERROR(INDEX(Static!$I$5:$L$15,MATCH(AF45,Static!$I$5:$I$15,0),4),"Y")</f>
        <v>Y</v>
      </c>
      <c r="S45" s="51" t="str">
        <f aca="false">IF(AND(AJ45&lt;&gt;"",T45="N",$A$1&gt;=AJ45-(7*$D$2)),"Y","N")</f>
        <v>N</v>
      </c>
      <c r="T45" s="51" t="str">
        <f aca="false">IF(AND(AJ45&lt;&gt;"",$A$1&gt;=AJ45),"Y","N")</f>
        <v>N</v>
      </c>
      <c r="U45" s="51" t="str">
        <f aca="false">IF(D45&gt;(($A$1-WEEKDAY($A$1,2))-7*$D$2),"Y","N")</f>
        <v>N</v>
      </c>
      <c r="V45" s="49" t="str">
        <f aca="false">IF(AR45&gt;0,"Y","N")</f>
        <v>N</v>
      </c>
      <c r="W45" s="51" t="str">
        <f aca="false">IF(AND(U45="Y",V45="N"),"Y","N")</f>
        <v>N</v>
      </c>
      <c r="X45" s="52" t="str">
        <f aca="false">IF(OR(S45="Y",AND(V45="Y",T45="Y"), $A$1=AJ45),"Y","N")</f>
        <v>N</v>
      </c>
      <c r="Y45" s="49" t="str">
        <f aca="false">IF(OR(AD45="Y",AD45="N"),AD45,IF(AND(R45="Y", OR(U45="Y",W45="Y", X45="Y")),"Y","N"))</f>
        <v>N</v>
      </c>
      <c r="Z45" s="51" t="str">
        <f aca="false">IF(OR(Q45="Y", V45="Y",X45="Y"),"Y","N")</f>
        <v>Y</v>
      </c>
      <c r="AA45" s="53" t="str">
        <f aca="false">" -  "&amp;O45&amp;AN45</f>
        <v>-  Z</v>
      </c>
      <c r="AB45" s="51" t="str">
        <f aca="false">IFERROR(VLOOKUP(WEEKDAY(AC45),Static!$AL$3:$AM$11,2,0),"")</f>
        <v/>
      </c>
      <c r="AC45" s="49" t="str">
        <f aca="false">IF(AI45&lt;&gt;"",AI45,AV45)</f>
        <v/>
      </c>
      <c r="AD45" s="54"/>
      <c r="AE45" s="54"/>
      <c r="AF45" s="55"/>
      <c r="AG45" s="56"/>
      <c r="AH45" s="56"/>
      <c r="AI45" s="54"/>
      <c r="AJ45" s="54"/>
      <c r="AK45" s="57"/>
      <c r="AL45" s="54"/>
      <c r="AM45" s="54"/>
      <c r="AN45" s="54"/>
      <c r="AO45" s="56"/>
      <c r="AP45" s="56"/>
      <c r="AQ45" s="58"/>
      <c r="AR45" s="51" t="n">
        <f aca="false">SUM(F45:I45)</f>
        <v>0</v>
      </c>
      <c r="AS45" s="59" t="n">
        <f aca="false">IF(AG45="",1,IF(K45&lt;&gt;0,(G45*0.5+J45)/K45,1))</f>
        <v>1</v>
      </c>
      <c r="AT45" s="60" t="str">
        <f aca="false">IF(AP45="","",IF(ISERROR(FIND(CHAR(10),AP45,1)),AP45,LEFT(AP45,FIND(CHAR(10),AP45,1))))</f>
        <v/>
      </c>
      <c r="AU45" s="61" t="str">
        <f aca="false">IF(AP45="","",IFERROR(RIGHT(AP45,LEN(AP45)-FIND("@@@",SUBSTITUTE(AP45,CHAR(10),"@@@",LEN(AP45)-LEN(SUBSTITUTE(AP45,CHAR(10),""))),1)),AP45))</f>
        <v/>
      </c>
      <c r="AV45" s="62" t="str">
        <f aca="false">IFERROR(DATE(("20"&amp;MID(AT45,7,2))*1,MID(AT45,4,2)*1,MID(AT45,1,2)*1),"")</f>
        <v/>
      </c>
      <c r="AW45" s="62" t="str">
        <f aca="false">IFERROR(DATE(("20"&amp;MID(AU45,7,2))*1,MID(AU45,4,2)*1,MID(AU45,1,2)*1),"")</f>
        <v/>
      </c>
      <c r="AX45" s="56" t="s">
        <v>450</v>
      </c>
    </row>
    <row r="46" customFormat="false" ht="12.75" hidden="false" customHeight="true" outlineLevel="0" collapsed="false">
      <c r="B46" s="49" t="str">
        <f aca="false">IF(AL46="","tbc",AL46)</f>
        <v>tbc</v>
      </c>
      <c r="C46" s="49" t="str">
        <f aca="false">IF(AM46="","VNT",AM46)</f>
        <v>VNT</v>
      </c>
      <c r="D46" s="49" t="n">
        <f aca="false">MAX(AC46,IF(AW46="none",AC46,AW46))</f>
        <v>0</v>
      </c>
      <c r="E46" s="50" t="n">
        <f aca="false">IFERROR(DAYS360(AC46,D46),0)</f>
        <v>0</v>
      </c>
      <c r="F46" s="50" t="n">
        <f aca="false">((LEN($AQ46)-LEN(SUBSTITUTE($AQ46,CHAR(10)&amp;". ","")))/3)+IF(LEFT(TRIM($AQ46),2)=". ",1,0)</f>
        <v>0</v>
      </c>
      <c r="G46" s="50" t="n">
        <f aca="false">((LEN($AQ46)-LEN(SUBSTITUTE($AQ46,CHAR(10)&amp;"/ ","")))/3)+IF(LEFT(TRIM($AQ46),2)="/ ",1,0)</f>
        <v>0</v>
      </c>
      <c r="H46" s="50" t="n">
        <f aca="false">((LEN($AQ46)-LEN(SUBSTITUTE($AQ46,CHAR(10)&amp;"~ ","")))/3)+IF(LEFT(TRIM($AQ46),2)="~ ",1,0)</f>
        <v>0</v>
      </c>
      <c r="I46" s="50" t="n">
        <f aca="false">((LEN($AQ46)-LEN(SUBSTITUTE($AQ46,CHAR(10)&amp;"! ","")))/3)+IF(LEFT(TRIM($AQ46),2)="! ",1,0)</f>
        <v>0</v>
      </c>
      <c r="J46" s="50" t="n">
        <f aca="false">((LEN($AQ46)-LEN(SUBSTITUTE($AQ46,CHAR(10)&amp;"x ","")))/3)+IF(LEFT(TRIM($AQ46),2)="x ",1,0)</f>
        <v>0</v>
      </c>
      <c r="K46" s="50" t="n">
        <f aca="false">SUM(F46:J46)</f>
        <v>0</v>
      </c>
      <c r="L46" s="51" t="n">
        <f aca="false">YEAR(D46)</f>
        <v>1899</v>
      </c>
      <c r="M46" s="51" t="str">
        <f aca="false">VLOOKUP(MONTH(D46),Static!$AJ$3:$AK$16,2,0)</f>
        <v>Dec</v>
      </c>
      <c r="N46" s="51" t="n">
        <f aca="false">WEEKNUM(D46,1)</f>
        <v>52</v>
      </c>
      <c r="O46" s="51" t="str">
        <f aca="false">IFERROR(INDEX(Static!$I$5:$L$15,MATCH(AF46,Static!$I$5:$I$15,0),3),"Z")</f>
        <v>Z</v>
      </c>
      <c r="P46" s="51" t="str">
        <f aca="false">IFERROR(INDEX(#REF!,MATCH(AN46,#REF!,0),3),"Z")</f>
        <v>Z</v>
      </c>
      <c r="Q46" s="51" t="str">
        <f aca="false">IFERROR(INDEX(Static!$I$5:$L$15,MATCH(AF46,Static!$I$5:$I$15,0),2),"Y")</f>
        <v>Y</v>
      </c>
      <c r="R46" s="51" t="str">
        <f aca="false">IFERROR(INDEX(Static!$I$5:$L$15,MATCH(AF46,Static!$I$5:$I$15,0),4),"Y")</f>
        <v>Y</v>
      </c>
      <c r="S46" s="51" t="str">
        <f aca="false">IF(AND(AJ46&lt;&gt;"",T46="N",$A$1&gt;=AJ46-(7*$D$2)),"Y","N")</f>
        <v>N</v>
      </c>
      <c r="T46" s="51" t="str">
        <f aca="false">IF(AND(AJ46&lt;&gt;"",$A$1&gt;=AJ46),"Y","N")</f>
        <v>N</v>
      </c>
      <c r="U46" s="51" t="str">
        <f aca="false">IF(D46&gt;(($A$1-WEEKDAY($A$1,2))-7*$D$2),"Y","N")</f>
        <v>N</v>
      </c>
      <c r="V46" s="49" t="str">
        <f aca="false">IF(AR46&gt;0,"Y","N")</f>
        <v>N</v>
      </c>
      <c r="W46" s="51" t="str">
        <f aca="false">IF(AND(U46="Y",V46="N"),"Y","N")</f>
        <v>N</v>
      </c>
      <c r="X46" s="52" t="str">
        <f aca="false">IF(OR(S46="Y",AND(V46="Y",T46="Y"), $A$1=AJ46),"Y","N")</f>
        <v>N</v>
      </c>
      <c r="Y46" s="49" t="str">
        <f aca="false">IF(OR(AD46="Y",AD46="N"),AD46,IF(AND(R46="Y", OR(U46="Y",W46="Y", X46="Y")),"Y","N"))</f>
        <v>N</v>
      </c>
      <c r="Z46" s="51" t="str">
        <f aca="false">IF(OR(Q46="Y", V46="Y",X46="Y"),"Y","N")</f>
        <v>Y</v>
      </c>
      <c r="AA46" s="53" t="str">
        <f aca="false">" -  "&amp;O46&amp;AN46</f>
        <v>-  Z</v>
      </c>
      <c r="AB46" s="51" t="str">
        <f aca="false">IFERROR(VLOOKUP(WEEKDAY(AC46),Static!$AL$3:$AM$11,2,0),"")</f>
        <v/>
      </c>
      <c r="AC46" s="49" t="str">
        <f aca="false">IF(AI46&lt;&gt;"",AI46,AV46)</f>
        <v/>
      </c>
      <c r="AD46" s="54"/>
      <c r="AE46" s="54"/>
      <c r="AF46" s="55"/>
      <c r="AG46" s="56"/>
      <c r="AH46" s="56"/>
      <c r="AI46" s="54"/>
      <c r="AJ46" s="54"/>
      <c r="AK46" s="57"/>
      <c r="AL46" s="54"/>
      <c r="AM46" s="54"/>
      <c r="AN46" s="54"/>
      <c r="AO46" s="56"/>
      <c r="AP46" s="56"/>
      <c r="AQ46" s="58"/>
      <c r="AR46" s="51" t="n">
        <f aca="false">SUM(F46:I46)</f>
        <v>0</v>
      </c>
      <c r="AS46" s="59" t="n">
        <f aca="false">IF(AG46="",1,IF(K46&lt;&gt;0,(G46*0.5+J46)/K46,1))</f>
        <v>1</v>
      </c>
      <c r="AT46" s="60" t="str">
        <f aca="false">IF(AP46="","",IF(ISERROR(FIND(CHAR(10),AP46,1)),AP46,LEFT(AP46,FIND(CHAR(10),AP46,1))))</f>
        <v/>
      </c>
      <c r="AU46" s="61" t="str">
        <f aca="false">IF(AP46="","",IFERROR(RIGHT(AP46,LEN(AP46)-FIND("@@@",SUBSTITUTE(AP46,CHAR(10),"@@@",LEN(AP46)-LEN(SUBSTITUTE(AP46,CHAR(10),""))),1)),AP46))</f>
        <v/>
      </c>
      <c r="AV46" s="62" t="str">
        <f aca="false">IFERROR(DATE(("20"&amp;MID(AT46,7,2))*1,MID(AT46,4,2)*1,MID(AT46,1,2)*1),"")</f>
        <v/>
      </c>
      <c r="AW46" s="62" t="str">
        <f aca="false">IFERROR(DATE(("20"&amp;MID(AU46,7,2))*1,MID(AU46,4,2)*1,MID(AU46,1,2)*1),"")</f>
        <v/>
      </c>
      <c r="AX46" s="56" t="s">
        <v>450</v>
      </c>
    </row>
    <row r="47" customFormat="false" ht="12.75" hidden="false" customHeight="true" outlineLevel="0" collapsed="false">
      <c r="B47" s="49" t="str">
        <f aca="false">IF(AL47="","tbc",AL47)</f>
        <v>tbc</v>
      </c>
      <c r="C47" s="49" t="str">
        <f aca="false">IF(AM47="","VNT",AM47)</f>
        <v>VNT</v>
      </c>
      <c r="D47" s="49" t="n">
        <f aca="false">MAX(AC47,IF(AW47="none",AC47,AW47))</f>
        <v>0</v>
      </c>
      <c r="E47" s="50" t="n">
        <f aca="false">IFERROR(DAYS360(AC47,D47),0)</f>
        <v>0</v>
      </c>
      <c r="F47" s="50" t="n">
        <f aca="false">((LEN($AQ47)-LEN(SUBSTITUTE($AQ47,CHAR(10)&amp;". ","")))/3)+IF(LEFT(TRIM($AQ47),2)=". ",1,0)</f>
        <v>0</v>
      </c>
      <c r="G47" s="50" t="n">
        <f aca="false">((LEN($AQ47)-LEN(SUBSTITUTE($AQ47,CHAR(10)&amp;"/ ","")))/3)+IF(LEFT(TRIM($AQ47),2)="/ ",1,0)</f>
        <v>0</v>
      </c>
      <c r="H47" s="50" t="n">
        <f aca="false">((LEN($AQ47)-LEN(SUBSTITUTE($AQ47,CHAR(10)&amp;"~ ","")))/3)+IF(LEFT(TRIM($AQ47),2)="~ ",1,0)</f>
        <v>0</v>
      </c>
      <c r="I47" s="50" t="n">
        <f aca="false">((LEN($AQ47)-LEN(SUBSTITUTE($AQ47,CHAR(10)&amp;"! ","")))/3)+IF(LEFT(TRIM($AQ47),2)="! ",1,0)</f>
        <v>0</v>
      </c>
      <c r="J47" s="50" t="n">
        <f aca="false">((LEN($AQ47)-LEN(SUBSTITUTE($AQ47,CHAR(10)&amp;"x ","")))/3)+IF(LEFT(TRIM($AQ47),2)="x ",1,0)</f>
        <v>0</v>
      </c>
      <c r="K47" s="50" t="n">
        <f aca="false">SUM(F47:J47)</f>
        <v>0</v>
      </c>
      <c r="L47" s="51" t="n">
        <f aca="false">YEAR(D47)</f>
        <v>1899</v>
      </c>
      <c r="M47" s="51" t="str">
        <f aca="false">VLOOKUP(MONTH(D47),Static!$AJ$3:$AK$16,2,0)</f>
        <v>Dec</v>
      </c>
      <c r="N47" s="51" t="n">
        <f aca="false">WEEKNUM(D47,1)</f>
        <v>52</v>
      </c>
      <c r="O47" s="51" t="str">
        <f aca="false">IFERROR(INDEX(Static!$I$5:$L$15,MATCH(AF47,Static!$I$5:$I$15,0),3),"Z")</f>
        <v>Z</v>
      </c>
      <c r="P47" s="51" t="str">
        <f aca="false">IFERROR(INDEX(#REF!,MATCH(AN47,#REF!,0),3),"Z")</f>
        <v>Z</v>
      </c>
      <c r="Q47" s="51" t="str">
        <f aca="false">IFERROR(INDEX(Static!$I$5:$L$15,MATCH(AF47,Static!$I$5:$I$15,0),2),"Y")</f>
        <v>Y</v>
      </c>
      <c r="R47" s="51" t="str">
        <f aca="false">IFERROR(INDEX(Static!$I$5:$L$15,MATCH(AF47,Static!$I$5:$I$15,0),4),"Y")</f>
        <v>Y</v>
      </c>
      <c r="S47" s="51" t="str">
        <f aca="false">IF(AND(AJ47&lt;&gt;"",T47="N",$A$1&gt;=AJ47-(7*$D$2)),"Y","N")</f>
        <v>N</v>
      </c>
      <c r="T47" s="51" t="str">
        <f aca="false">IF(AND(AJ47&lt;&gt;"",$A$1&gt;=AJ47),"Y","N")</f>
        <v>N</v>
      </c>
      <c r="U47" s="51" t="str">
        <f aca="false">IF(D47&gt;(($A$1-WEEKDAY($A$1,2))-7*$D$2),"Y","N")</f>
        <v>N</v>
      </c>
      <c r="V47" s="49" t="str">
        <f aca="false">IF(AR47&gt;0,"Y","N")</f>
        <v>N</v>
      </c>
      <c r="W47" s="51" t="str">
        <f aca="false">IF(AND(U47="Y",V47="N"),"Y","N")</f>
        <v>N</v>
      </c>
      <c r="X47" s="52" t="str">
        <f aca="false">IF(OR(S47="Y",AND(V47="Y",T47="Y"), $A$1=AJ47),"Y","N")</f>
        <v>N</v>
      </c>
      <c r="Y47" s="49" t="str">
        <f aca="false">IF(OR(AD47="Y",AD47="N"),AD47,IF(AND(R47="Y", OR(U47="Y",W47="Y", X47="Y")),"Y","N"))</f>
        <v>N</v>
      </c>
      <c r="Z47" s="51" t="str">
        <f aca="false">IF(OR(Q47="Y", V47="Y",X47="Y"),"Y","N")</f>
        <v>Y</v>
      </c>
      <c r="AA47" s="53" t="str">
        <f aca="false">" -  "&amp;O47&amp;AN47</f>
        <v>-  Z</v>
      </c>
      <c r="AB47" s="51" t="str">
        <f aca="false">IFERROR(VLOOKUP(WEEKDAY(AC47),Static!$AL$3:$AM$11,2,0),"")</f>
        <v/>
      </c>
      <c r="AC47" s="49" t="str">
        <f aca="false">IF(AI47&lt;&gt;"",AI47,AV47)</f>
        <v/>
      </c>
      <c r="AD47" s="54"/>
      <c r="AE47" s="54"/>
      <c r="AF47" s="55"/>
      <c r="AG47" s="56"/>
      <c r="AH47" s="56"/>
      <c r="AI47" s="54"/>
      <c r="AJ47" s="54"/>
      <c r="AK47" s="57"/>
      <c r="AL47" s="54"/>
      <c r="AM47" s="54"/>
      <c r="AN47" s="54"/>
      <c r="AO47" s="56"/>
      <c r="AP47" s="56"/>
      <c r="AQ47" s="56"/>
      <c r="AR47" s="51" t="n">
        <f aca="false">SUM(F47:I47)</f>
        <v>0</v>
      </c>
      <c r="AS47" s="59" t="n">
        <f aca="false">IF(AG47="",1,IF(K47&lt;&gt;0,(G47*0.5+J47)/K47,1))</f>
        <v>1</v>
      </c>
      <c r="AT47" s="60" t="str">
        <f aca="false">IF(AP47="","",IF(ISERROR(FIND(CHAR(10),AP47,1)),AP47,LEFT(AP47,FIND(CHAR(10),AP47,1))))</f>
        <v/>
      </c>
      <c r="AU47" s="61" t="str">
        <f aca="false">IF(AP47="","",IFERROR(RIGHT(AP47,LEN(AP47)-FIND("@@@",SUBSTITUTE(AP47,CHAR(10),"@@@",LEN(AP47)-LEN(SUBSTITUTE(AP47,CHAR(10),""))),1)),AP47))</f>
        <v/>
      </c>
      <c r="AV47" s="62" t="str">
        <f aca="false">IFERROR(DATE(("20"&amp;MID(AT47,7,2))*1,MID(AT47,4,2)*1,MID(AT47,1,2)*1),"")</f>
        <v/>
      </c>
      <c r="AW47" s="62" t="str">
        <f aca="false">IFERROR(DATE(("20"&amp;MID(AU47,7,2))*1,MID(AU47,4,2)*1,MID(AU47,1,2)*1),"")</f>
        <v/>
      </c>
      <c r="AX47" s="56" t="s">
        <v>450</v>
      </c>
    </row>
    <row r="48" customFormat="false" ht="12.75" hidden="false" customHeight="true" outlineLevel="0" collapsed="false">
      <c r="B48" s="49" t="str">
        <f aca="false">IF(AL48="","tbc",AL48)</f>
        <v>tbc</v>
      </c>
      <c r="C48" s="49" t="str">
        <f aca="false">IF(AM48="","VNT",AM48)</f>
        <v>VNT</v>
      </c>
      <c r="D48" s="49" t="n">
        <f aca="false">MAX(AC48,IF(AW48="none",AC48,AW48))</f>
        <v>0</v>
      </c>
      <c r="E48" s="50" t="n">
        <f aca="false">IFERROR(DAYS360(AC48,D48),0)</f>
        <v>0</v>
      </c>
      <c r="F48" s="50" t="n">
        <f aca="false">((LEN($AQ48)-LEN(SUBSTITUTE($AQ48,CHAR(10)&amp;". ","")))/3)+IF(LEFT(TRIM($AQ48),2)=". ",1,0)</f>
        <v>0</v>
      </c>
      <c r="G48" s="50" t="n">
        <f aca="false">((LEN($AQ48)-LEN(SUBSTITUTE($AQ48,CHAR(10)&amp;"/ ","")))/3)+IF(LEFT(TRIM($AQ48),2)="/ ",1,0)</f>
        <v>0</v>
      </c>
      <c r="H48" s="50" t="n">
        <f aca="false">((LEN($AQ48)-LEN(SUBSTITUTE($AQ48,CHAR(10)&amp;"~ ","")))/3)+IF(LEFT(TRIM($AQ48),2)="~ ",1,0)</f>
        <v>0</v>
      </c>
      <c r="I48" s="50" t="n">
        <f aca="false">((LEN($AQ48)-LEN(SUBSTITUTE($AQ48,CHAR(10)&amp;"! ","")))/3)+IF(LEFT(TRIM($AQ48),2)="! ",1,0)</f>
        <v>0</v>
      </c>
      <c r="J48" s="50" t="n">
        <f aca="false">((LEN($AQ48)-LEN(SUBSTITUTE($AQ48,CHAR(10)&amp;"x ","")))/3)+IF(LEFT(TRIM($AQ48),2)="x ",1,0)</f>
        <v>0</v>
      </c>
      <c r="K48" s="50" t="n">
        <f aca="false">SUM(F48:J48)</f>
        <v>0</v>
      </c>
      <c r="L48" s="51" t="n">
        <f aca="false">YEAR(D48)</f>
        <v>1899</v>
      </c>
      <c r="M48" s="51" t="str">
        <f aca="false">VLOOKUP(MONTH(D48),Static!$AJ$3:$AK$16,2,0)</f>
        <v>Dec</v>
      </c>
      <c r="N48" s="51" t="n">
        <f aca="false">WEEKNUM(D48,1)</f>
        <v>52</v>
      </c>
      <c r="O48" s="51" t="str">
        <f aca="false">IFERROR(INDEX(Static!$I$5:$L$15,MATCH(AF48,Static!$I$5:$I$15,0),3),"Z")</f>
        <v>Z</v>
      </c>
      <c r="P48" s="51" t="str">
        <f aca="false">IFERROR(INDEX(#REF!,MATCH(AN48,#REF!,0),3),"Z")</f>
        <v>Z</v>
      </c>
      <c r="Q48" s="51" t="str">
        <f aca="false">IFERROR(INDEX(Static!$I$5:$L$15,MATCH(AF48,Static!$I$5:$I$15,0),2),"Y")</f>
        <v>Y</v>
      </c>
      <c r="R48" s="51" t="str">
        <f aca="false">IFERROR(INDEX(Static!$I$5:$L$15,MATCH(AF48,Static!$I$5:$I$15,0),4),"Y")</f>
        <v>Y</v>
      </c>
      <c r="S48" s="51" t="str">
        <f aca="false">IF(AND(AJ48&lt;&gt;"",T48="N",$A$1&gt;=AJ48-(7*$D$2)),"Y","N")</f>
        <v>N</v>
      </c>
      <c r="T48" s="51" t="str">
        <f aca="false">IF(AND(AJ48&lt;&gt;"",$A$1&gt;=AJ48),"Y","N")</f>
        <v>N</v>
      </c>
      <c r="U48" s="51" t="str">
        <f aca="false">IF(D48&gt;(($A$1-WEEKDAY($A$1,2))-7*$D$2),"Y","N")</f>
        <v>N</v>
      </c>
      <c r="V48" s="49" t="str">
        <f aca="false">IF(AR48&gt;0,"Y","N")</f>
        <v>N</v>
      </c>
      <c r="W48" s="51" t="str">
        <f aca="false">IF(AND(U48="Y",V48="N"),"Y","N")</f>
        <v>N</v>
      </c>
      <c r="X48" s="52" t="str">
        <f aca="false">IF(OR(S48="Y",AND(V48="Y",T48="Y"), $A$1=AJ48),"Y","N")</f>
        <v>N</v>
      </c>
      <c r="Y48" s="49" t="str">
        <f aca="false">IF(OR(AD48="Y",AD48="N"),AD48,IF(AND(R48="Y", OR(U48="Y",W48="Y", X48="Y")),"Y","N"))</f>
        <v>N</v>
      </c>
      <c r="Z48" s="51" t="str">
        <f aca="false">IF(OR(Q48="Y", V48="Y",X48="Y"),"Y","N")</f>
        <v>Y</v>
      </c>
      <c r="AA48" s="53" t="str">
        <f aca="false">" -  "&amp;O48&amp;AN48</f>
        <v>-  Z</v>
      </c>
      <c r="AB48" s="51" t="str">
        <f aca="false">IFERROR(VLOOKUP(WEEKDAY(AC48),Static!$AL$3:$AM$11,2,0),"")</f>
        <v/>
      </c>
      <c r="AC48" s="49" t="str">
        <f aca="false">IF(AI48&lt;&gt;"",AI48,AV48)</f>
        <v/>
      </c>
      <c r="AD48" s="54"/>
      <c r="AE48" s="54"/>
      <c r="AF48" s="55"/>
      <c r="AG48" s="56"/>
      <c r="AH48" s="56"/>
      <c r="AI48" s="54"/>
      <c r="AJ48" s="54"/>
      <c r="AK48" s="57"/>
      <c r="AL48" s="54"/>
      <c r="AM48" s="54"/>
      <c r="AN48" s="54"/>
      <c r="AO48" s="56"/>
      <c r="AP48" s="56"/>
      <c r="AQ48" s="58"/>
      <c r="AR48" s="51" t="n">
        <f aca="false">SUM(F48:I48)</f>
        <v>0</v>
      </c>
      <c r="AS48" s="59" t="n">
        <f aca="false">IF(AG48="",1,IF(K48&lt;&gt;0,(G48*0.5+J48)/K48,1))</f>
        <v>1</v>
      </c>
      <c r="AT48" s="60" t="str">
        <f aca="false">IF(AP48="","",IF(ISERROR(FIND(CHAR(10),AP48,1)),AP48,LEFT(AP48,FIND(CHAR(10),AP48,1))))</f>
        <v/>
      </c>
      <c r="AU48" s="61" t="str">
        <f aca="false">IF(AP48="","",IFERROR(RIGHT(AP48,LEN(AP48)-FIND("@@@",SUBSTITUTE(AP48,CHAR(10),"@@@",LEN(AP48)-LEN(SUBSTITUTE(AP48,CHAR(10),""))),1)),AP48))</f>
        <v/>
      </c>
      <c r="AV48" s="62" t="str">
        <f aca="false">IFERROR(DATE(("20"&amp;MID(AT48,7,2))*1,MID(AT48,4,2)*1,MID(AT48,1,2)*1),"")</f>
        <v/>
      </c>
      <c r="AW48" s="62" t="str">
        <f aca="false">IFERROR(DATE(("20"&amp;MID(AU48,7,2))*1,MID(AU48,4,2)*1,MID(AU48,1,2)*1),"")</f>
        <v/>
      </c>
      <c r="AX48" s="56" t="s">
        <v>450</v>
      </c>
    </row>
    <row r="49" customFormat="false" ht="12.75" hidden="false" customHeight="true" outlineLevel="0" collapsed="false">
      <c r="B49" s="49" t="str">
        <f aca="false">IF(AL49="","tbc",AL49)</f>
        <v>tbc</v>
      </c>
      <c r="C49" s="49" t="str">
        <f aca="false">IF(AM49="","VNT",AM49)</f>
        <v>VNT</v>
      </c>
      <c r="D49" s="49" t="n">
        <f aca="false">MAX(AC49,IF(AW49="none",AC49,AW49))</f>
        <v>0</v>
      </c>
      <c r="E49" s="50" t="n">
        <f aca="false">IFERROR(DAYS360(AC49,D49),0)</f>
        <v>0</v>
      </c>
      <c r="F49" s="50" t="n">
        <f aca="false">((LEN($AQ49)-LEN(SUBSTITUTE($AQ49,CHAR(10)&amp;". ","")))/3)+IF(LEFT(TRIM($AQ49),2)=". ",1,0)</f>
        <v>0</v>
      </c>
      <c r="G49" s="50" t="n">
        <f aca="false">((LEN($AQ49)-LEN(SUBSTITUTE($AQ49,CHAR(10)&amp;"/ ","")))/3)+IF(LEFT(TRIM($AQ49),2)="/ ",1,0)</f>
        <v>0</v>
      </c>
      <c r="H49" s="50" t="n">
        <f aca="false">((LEN($AQ49)-LEN(SUBSTITUTE($AQ49,CHAR(10)&amp;"~ ","")))/3)+IF(LEFT(TRIM($AQ49),2)="~ ",1,0)</f>
        <v>0</v>
      </c>
      <c r="I49" s="50" t="n">
        <f aca="false">((LEN($AQ49)-LEN(SUBSTITUTE($AQ49,CHAR(10)&amp;"! ","")))/3)+IF(LEFT(TRIM($AQ49),2)="! ",1,0)</f>
        <v>0</v>
      </c>
      <c r="J49" s="50" t="n">
        <f aca="false">((LEN($AQ49)-LEN(SUBSTITUTE($AQ49,CHAR(10)&amp;"x ","")))/3)+IF(LEFT(TRIM($AQ49),2)="x ",1,0)</f>
        <v>0</v>
      </c>
      <c r="K49" s="50" t="n">
        <f aca="false">SUM(F49:J49)</f>
        <v>0</v>
      </c>
      <c r="L49" s="51" t="n">
        <f aca="false">YEAR(D49)</f>
        <v>1899</v>
      </c>
      <c r="M49" s="51" t="str">
        <f aca="false">VLOOKUP(MONTH(D49),Static!$AJ$3:$AK$16,2,0)</f>
        <v>Dec</v>
      </c>
      <c r="N49" s="51" t="n">
        <f aca="false">WEEKNUM(D49,1)</f>
        <v>52</v>
      </c>
      <c r="O49" s="51" t="str">
        <f aca="false">IFERROR(INDEX(Static!$I$5:$L$15,MATCH(AF49,Static!$I$5:$I$15,0),3),"Z")</f>
        <v>Z</v>
      </c>
      <c r="P49" s="51" t="str">
        <f aca="false">IFERROR(INDEX(#REF!,MATCH(AN49,#REF!,0),3),"Z")</f>
        <v>Z</v>
      </c>
      <c r="Q49" s="51" t="str">
        <f aca="false">IFERROR(INDEX(Static!$I$5:$L$15,MATCH(AF49,Static!$I$5:$I$15,0),2),"Y")</f>
        <v>Y</v>
      </c>
      <c r="R49" s="51" t="str">
        <f aca="false">IFERROR(INDEX(Static!$I$5:$L$15,MATCH(AF49,Static!$I$5:$I$15,0),4),"Y")</f>
        <v>Y</v>
      </c>
      <c r="S49" s="51" t="str">
        <f aca="false">IF(AND(AJ49&lt;&gt;"",T49="N",$A$1&gt;=AJ49-(7*$D$2)),"Y","N")</f>
        <v>N</v>
      </c>
      <c r="T49" s="51" t="str">
        <f aca="false">IF(AND(AJ49&lt;&gt;"",$A$1&gt;=AJ49),"Y","N")</f>
        <v>N</v>
      </c>
      <c r="U49" s="51" t="str">
        <f aca="false">IF(D49&gt;(($A$1-WEEKDAY($A$1,2))-7*$D$2),"Y","N")</f>
        <v>N</v>
      </c>
      <c r="V49" s="49" t="str">
        <f aca="false">IF(AR49&gt;0,"Y","N")</f>
        <v>N</v>
      </c>
      <c r="W49" s="51" t="str">
        <f aca="false">IF(AND(U49="Y",V49="N"),"Y","N")</f>
        <v>N</v>
      </c>
      <c r="X49" s="52" t="str">
        <f aca="false">IF(OR(S49="Y",AND(V49="Y",T49="Y"), $A$1=AJ49),"Y","N")</f>
        <v>N</v>
      </c>
      <c r="Y49" s="49" t="str">
        <f aca="false">IF(OR(AD49="Y",AD49="N"),AD49,IF(AND(R49="Y", OR(U49="Y",W49="Y", X49="Y")),"Y","N"))</f>
        <v>N</v>
      </c>
      <c r="Z49" s="51" t="str">
        <f aca="false">IF(OR(Q49="Y", V49="Y",X49="Y"),"Y","N")</f>
        <v>Y</v>
      </c>
      <c r="AA49" s="53" t="str">
        <f aca="false">" -  "&amp;O49&amp;AN49</f>
        <v>-  Z</v>
      </c>
      <c r="AB49" s="51" t="str">
        <f aca="false">IFERROR(VLOOKUP(WEEKDAY(AC49),Static!$AL$3:$AM$11,2,0),"")</f>
        <v/>
      </c>
      <c r="AC49" s="49" t="str">
        <f aca="false">IF(AI49&lt;&gt;"",AI49,AV49)</f>
        <v/>
      </c>
      <c r="AD49" s="54"/>
      <c r="AE49" s="54"/>
      <c r="AF49" s="55"/>
      <c r="AG49" s="56"/>
      <c r="AH49" s="56"/>
      <c r="AI49" s="54"/>
      <c r="AJ49" s="54"/>
      <c r="AK49" s="57"/>
      <c r="AL49" s="54"/>
      <c r="AM49" s="54"/>
      <c r="AN49" s="54"/>
      <c r="AO49" s="56"/>
      <c r="AP49" s="56"/>
      <c r="AQ49" s="58"/>
      <c r="AR49" s="51" t="n">
        <f aca="false">SUM(F49:I49)</f>
        <v>0</v>
      </c>
      <c r="AS49" s="59" t="n">
        <f aca="false">IF(AG49="",1,IF(K49&lt;&gt;0,(G49*0.5+J49)/K49,1))</f>
        <v>1</v>
      </c>
      <c r="AT49" s="60" t="str">
        <f aca="false">IF(AP49="","",IF(ISERROR(FIND(CHAR(10),AP49,1)),AP49,LEFT(AP49,FIND(CHAR(10),AP49,1))))</f>
        <v/>
      </c>
      <c r="AU49" s="61" t="str">
        <f aca="false">IF(AP49="","",IFERROR(RIGHT(AP49,LEN(AP49)-FIND("@@@",SUBSTITUTE(AP49,CHAR(10),"@@@",LEN(AP49)-LEN(SUBSTITUTE(AP49,CHAR(10),""))),1)),AP49))</f>
        <v/>
      </c>
      <c r="AV49" s="62" t="str">
        <f aca="false">IFERROR(DATE(("20"&amp;MID(AT49,7,2))*1,MID(AT49,4,2)*1,MID(AT49,1,2)*1),"")</f>
        <v/>
      </c>
      <c r="AW49" s="62" t="str">
        <f aca="false">IFERROR(DATE(("20"&amp;MID(AU49,7,2))*1,MID(AU49,4,2)*1,MID(AU49,1,2)*1),"")</f>
        <v/>
      </c>
      <c r="AX49" s="56" t="s">
        <v>450</v>
      </c>
    </row>
    <row r="50" customFormat="false" ht="12.75" hidden="false" customHeight="true" outlineLevel="0" collapsed="false">
      <c r="B50" s="49" t="str">
        <f aca="false">IF(AL50="","tbc",AL50)</f>
        <v>tbc</v>
      </c>
      <c r="C50" s="49" t="str">
        <f aca="false">IF(AM50="","VNT",AM50)</f>
        <v>VNT</v>
      </c>
      <c r="D50" s="49" t="n">
        <f aca="false">MAX(AC50,IF(AW50="none",AC50,AW50))</f>
        <v>0</v>
      </c>
      <c r="E50" s="50" t="n">
        <f aca="false">IFERROR(DAYS360(AC50,D50),0)</f>
        <v>0</v>
      </c>
      <c r="F50" s="50" t="n">
        <f aca="false">((LEN($AQ50)-LEN(SUBSTITUTE($AQ50,CHAR(10)&amp;". ","")))/3)+IF(LEFT(TRIM($AQ50),2)=". ",1,0)</f>
        <v>0</v>
      </c>
      <c r="G50" s="50" t="n">
        <f aca="false">((LEN($AQ50)-LEN(SUBSTITUTE($AQ50,CHAR(10)&amp;"/ ","")))/3)+IF(LEFT(TRIM($AQ50),2)="/ ",1,0)</f>
        <v>0</v>
      </c>
      <c r="H50" s="50" t="n">
        <f aca="false">((LEN($AQ50)-LEN(SUBSTITUTE($AQ50,CHAR(10)&amp;"~ ","")))/3)+IF(LEFT(TRIM($AQ50),2)="~ ",1,0)</f>
        <v>0</v>
      </c>
      <c r="I50" s="50" t="n">
        <f aca="false">((LEN($AQ50)-LEN(SUBSTITUTE($AQ50,CHAR(10)&amp;"! ","")))/3)+IF(LEFT(TRIM($AQ50),2)="! ",1,0)</f>
        <v>0</v>
      </c>
      <c r="J50" s="50" t="n">
        <f aca="false">((LEN($AQ50)-LEN(SUBSTITUTE($AQ50,CHAR(10)&amp;"x ","")))/3)+IF(LEFT(TRIM($AQ50),2)="x ",1,0)</f>
        <v>0</v>
      </c>
      <c r="K50" s="50" t="n">
        <f aca="false">SUM(F50:J50)</f>
        <v>0</v>
      </c>
      <c r="L50" s="51" t="n">
        <f aca="false">YEAR(D50)</f>
        <v>1899</v>
      </c>
      <c r="M50" s="51" t="str">
        <f aca="false">VLOOKUP(MONTH(D50),Static!$AJ$3:$AK$16,2,0)</f>
        <v>Dec</v>
      </c>
      <c r="N50" s="51" t="n">
        <f aca="false">WEEKNUM(D50,1)</f>
        <v>52</v>
      </c>
      <c r="O50" s="51" t="str">
        <f aca="false">IFERROR(INDEX(Static!$I$5:$L$15,MATCH(AF50,Static!$I$5:$I$15,0),3),"Z")</f>
        <v>Z</v>
      </c>
      <c r="P50" s="51" t="str">
        <f aca="false">IFERROR(INDEX(#REF!,MATCH(AN50,#REF!,0),3),"Z")</f>
        <v>Z</v>
      </c>
      <c r="Q50" s="51" t="str">
        <f aca="false">IFERROR(INDEX(Static!$I$5:$L$15,MATCH(AF50,Static!$I$5:$I$15,0),2),"Y")</f>
        <v>Y</v>
      </c>
      <c r="R50" s="51" t="str">
        <f aca="false">IFERROR(INDEX(Static!$I$5:$L$15,MATCH(AF50,Static!$I$5:$I$15,0),4),"Y")</f>
        <v>Y</v>
      </c>
      <c r="S50" s="51" t="str">
        <f aca="false">IF(AND(AJ50&lt;&gt;"",T50="N",$A$1&gt;=AJ50-(7*$D$2)),"Y","N")</f>
        <v>N</v>
      </c>
      <c r="T50" s="51" t="str">
        <f aca="false">IF(AND(AJ50&lt;&gt;"",$A$1&gt;=AJ50),"Y","N")</f>
        <v>N</v>
      </c>
      <c r="U50" s="51" t="str">
        <f aca="false">IF(D50&gt;(($A$1-WEEKDAY($A$1,2))-7*$D$2),"Y","N")</f>
        <v>N</v>
      </c>
      <c r="V50" s="49" t="str">
        <f aca="false">IF(AR50&gt;0,"Y","N")</f>
        <v>N</v>
      </c>
      <c r="W50" s="51" t="str">
        <f aca="false">IF(AND(U50="Y",V50="N"),"Y","N")</f>
        <v>N</v>
      </c>
      <c r="X50" s="52" t="str">
        <f aca="false">IF(OR(S50="Y",AND(V50="Y",T50="Y"), $A$1=AJ50),"Y","N")</f>
        <v>N</v>
      </c>
      <c r="Y50" s="49" t="str">
        <f aca="false">IF(OR(AD50="Y",AD50="N"),AD50,IF(AND(R50="Y", OR(U50="Y",W50="Y", X50="Y")),"Y","N"))</f>
        <v>N</v>
      </c>
      <c r="Z50" s="51" t="str">
        <f aca="false">IF(OR(Q50="Y", V50="Y",X50="Y"),"Y","N")</f>
        <v>Y</v>
      </c>
      <c r="AA50" s="53" t="str">
        <f aca="false">" -  "&amp;O50&amp;AN50</f>
        <v>-  Z</v>
      </c>
      <c r="AB50" s="51" t="str">
        <f aca="false">IFERROR(VLOOKUP(WEEKDAY(AC50),Static!$AL$3:$AM$11,2,0),"")</f>
        <v/>
      </c>
      <c r="AC50" s="49" t="str">
        <f aca="false">IF(AI50&lt;&gt;"",AI50,AV50)</f>
        <v/>
      </c>
      <c r="AD50" s="54"/>
      <c r="AE50" s="54"/>
      <c r="AF50" s="55"/>
      <c r="AG50" s="56"/>
      <c r="AH50" s="56"/>
      <c r="AI50" s="54"/>
      <c r="AJ50" s="54"/>
      <c r="AK50" s="57"/>
      <c r="AL50" s="54"/>
      <c r="AM50" s="54"/>
      <c r="AN50" s="54"/>
      <c r="AO50" s="56"/>
      <c r="AP50" s="56"/>
      <c r="AQ50" s="56"/>
      <c r="AR50" s="51" t="n">
        <f aca="false">SUM(F50:I50)</f>
        <v>0</v>
      </c>
      <c r="AS50" s="59" t="n">
        <f aca="false">IF(AG50="",1,IF(K50&lt;&gt;0,(G50*0.5+J50)/K50,1))</f>
        <v>1</v>
      </c>
      <c r="AT50" s="60" t="str">
        <f aca="false">IF(AP50="","",IF(ISERROR(FIND(CHAR(10),AP50,1)),AP50,LEFT(AP50,FIND(CHAR(10),AP50,1))))</f>
        <v/>
      </c>
      <c r="AU50" s="61" t="str">
        <f aca="false">IF(AP50="","",IFERROR(RIGHT(AP50,LEN(AP50)-FIND("@@@",SUBSTITUTE(AP50,CHAR(10),"@@@",LEN(AP50)-LEN(SUBSTITUTE(AP50,CHAR(10),""))),1)),AP50))</f>
        <v/>
      </c>
      <c r="AV50" s="62" t="str">
        <f aca="false">IFERROR(DATE(("20"&amp;MID(AT50,7,2))*1,MID(AT50,4,2)*1,MID(AT50,1,2)*1),"")</f>
        <v/>
      </c>
      <c r="AW50" s="62" t="str">
        <f aca="false">IFERROR(DATE(("20"&amp;MID(AU50,7,2))*1,MID(AU50,4,2)*1,MID(AU50,1,2)*1),"")</f>
        <v/>
      </c>
      <c r="AX50" s="56" t="s">
        <v>450</v>
      </c>
    </row>
    <row r="51" customFormat="false" ht="12.75" hidden="false" customHeight="true" outlineLevel="0" collapsed="false">
      <c r="B51" s="49" t="str">
        <f aca="false">IF(AL51="","tbc",AL51)</f>
        <v>tbc</v>
      </c>
      <c r="C51" s="49" t="str">
        <f aca="false">IF(AM51="","VNT",AM51)</f>
        <v>VNT</v>
      </c>
      <c r="D51" s="49" t="n">
        <f aca="false">MAX(AC51,IF(AW51="none",AC51,AW51))</f>
        <v>0</v>
      </c>
      <c r="E51" s="50" t="n">
        <f aca="false">IFERROR(DAYS360(AC51,D51),0)</f>
        <v>0</v>
      </c>
      <c r="F51" s="50" t="n">
        <f aca="false">((LEN($AQ51)-LEN(SUBSTITUTE($AQ51,CHAR(10)&amp;". ","")))/3)+IF(LEFT(TRIM($AQ51),2)=". ",1,0)</f>
        <v>0</v>
      </c>
      <c r="G51" s="50" t="n">
        <f aca="false">((LEN($AQ51)-LEN(SUBSTITUTE($AQ51,CHAR(10)&amp;"/ ","")))/3)+IF(LEFT(TRIM($AQ51),2)="/ ",1,0)</f>
        <v>0</v>
      </c>
      <c r="H51" s="50" t="n">
        <f aca="false">((LEN($AQ51)-LEN(SUBSTITUTE($AQ51,CHAR(10)&amp;"~ ","")))/3)+IF(LEFT(TRIM($AQ51),2)="~ ",1,0)</f>
        <v>0</v>
      </c>
      <c r="I51" s="50" t="n">
        <f aca="false">((LEN($AQ51)-LEN(SUBSTITUTE($AQ51,CHAR(10)&amp;"! ","")))/3)+IF(LEFT(TRIM($AQ51),2)="! ",1,0)</f>
        <v>0</v>
      </c>
      <c r="J51" s="50" t="n">
        <f aca="false">((LEN($AQ51)-LEN(SUBSTITUTE($AQ51,CHAR(10)&amp;"x ","")))/3)+IF(LEFT(TRIM($AQ51),2)="x ",1,0)</f>
        <v>0</v>
      </c>
      <c r="K51" s="50" t="n">
        <f aca="false">SUM(F51:J51)</f>
        <v>0</v>
      </c>
      <c r="L51" s="51" t="n">
        <f aca="false">YEAR(D51)</f>
        <v>1899</v>
      </c>
      <c r="M51" s="51" t="str">
        <f aca="false">VLOOKUP(MONTH(D51),Static!$AJ$3:$AK$16,2,0)</f>
        <v>Dec</v>
      </c>
      <c r="N51" s="51" t="n">
        <f aca="false">WEEKNUM(D51,1)</f>
        <v>52</v>
      </c>
      <c r="O51" s="51" t="str">
        <f aca="false">IFERROR(INDEX(Static!$I$5:$L$15,MATCH(AF51,Static!$I$5:$I$15,0),3),"Z")</f>
        <v>Z</v>
      </c>
      <c r="P51" s="51" t="str">
        <f aca="false">IFERROR(INDEX(#REF!,MATCH(AN51,#REF!,0),3),"Z")</f>
        <v>Z</v>
      </c>
      <c r="Q51" s="51" t="str">
        <f aca="false">IFERROR(INDEX(Static!$I$5:$L$15,MATCH(AF51,Static!$I$5:$I$15,0),2),"Y")</f>
        <v>Y</v>
      </c>
      <c r="R51" s="51" t="str">
        <f aca="false">IFERROR(INDEX(Static!$I$5:$L$15,MATCH(AF51,Static!$I$5:$I$15,0),4),"Y")</f>
        <v>Y</v>
      </c>
      <c r="S51" s="51" t="str">
        <f aca="false">IF(AND(AJ51&lt;&gt;"",T51="N",$A$1&gt;=AJ51-(7*$D$2)),"Y","N")</f>
        <v>N</v>
      </c>
      <c r="T51" s="51" t="str">
        <f aca="false">IF(AND(AJ51&lt;&gt;"",$A$1&gt;=AJ51),"Y","N")</f>
        <v>N</v>
      </c>
      <c r="U51" s="51" t="str">
        <f aca="false">IF(D51&gt;(($A$1-WEEKDAY($A$1,2))-7*$D$2),"Y","N")</f>
        <v>N</v>
      </c>
      <c r="V51" s="49" t="str">
        <f aca="false">IF(AR51&gt;0,"Y","N")</f>
        <v>N</v>
      </c>
      <c r="W51" s="51" t="str">
        <f aca="false">IF(AND(U51="Y",V51="N"),"Y","N")</f>
        <v>N</v>
      </c>
      <c r="X51" s="52" t="str">
        <f aca="false">IF(OR(S51="Y",AND(V51="Y",T51="Y"), $A$1=AJ51),"Y","N")</f>
        <v>N</v>
      </c>
      <c r="Y51" s="49" t="str">
        <f aca="false">IF(OR(AD51="Y",AD51="N"),AD51,IF(AND(R51="Y", OR(U51="Y",W51="Y", X51="Y")),"Y","N"))</f>
        <v>N</v>
      </c>
      <c r="Z51" s="51" t="str">
        <f aca="false">IF(OR(Q51="Y", V51="Y",X51="Y"),"Y","N")</f>
        <v>Y</v>
      </c>
      <c r="AA51" s="53" t="str">
        <f aca="false">" -  "&amp;O51&amp;AN51</f>
        <v>-  Z</v>
      </c>
      <c r="AB51" s="51" t="str">
        <f aca="false">IFERROR(VLOOKUP(WEEKDAY(AC51),Static!$AL$3:$AM$11,2,0),"")</f>
        <v/>
      </c>
      <c r="AC51" s="49" t="str">
        <f aca="false">IF(AI51&lt;&gt;"",AI51,AV51)</f>
        <v/>
      </c>
      <c r="AD51" s="54"/>
      <c r="AE51" s="54"/>
      <c r="AF51" s="55"/>
      <c r="AG51" s="56"/>
      <c r="AH51" s="56"/>
      <c r="AI51" s="54"/>
      <c r="AJ51" s="54"/>
      <c r="AK51" s="57"/>
      <c r="AL51" s="54"/>
      <c r="AM51" s="54"/>
      <c r="AN51" s="54"/>
      <c r="AO51" s="56"/>
      <c r="AP51" s="56"/>
      <c r="AQ51" s="58"/>
      <c r="AR51" s="51" t="n">
        <f aca="false">SUM(F51:I51)</f>
        <v>0</v>
      </c>
      <c r="AS51" s="59" t="n">
        <f aca="false">IF(AG51="",1,IF(K51&lt;&gt;0,(G51*0.5+J51)/K51,1))</f>
        <v>1</v>
      </c>
      <c r="AT51" s="60" t="str">
        <f aca="false">IF(AP51="","",IF(ISERROR(FIND(CHAR(10),AP51,1)),AP51,LEFT(AP51,FIND(CHAR(10),AP51,1))))</f>
        <v/>
      </c>
      <c r="AU51" s="61" t="str">
        <f aca="false">IF(AP51="","",IFERROR(RIGHT(AP51,LEN(AP51)-FIND("@@@",SUBSTITUTE(AP51,CHAR(10),"@@@",LEN(AP51)-LEN(SUBSTITUTE(AP51,CHAR(10),""))),1)),AP51))</f>
        <v/>
      </c>
      <c r="AV51" s="62" t="str">
        <f aca="false">IFERROR(DATE(("20"&amp;MID(AT51,7,2))*1,MID(AT51,4,2)*1,MID(AT51,1,2)*1),"")</f>
        <v/>
      </c>
      <c r="AW51" s="62" t="str">
        <f aca="false">IFERROR(DATE(("20"&amp;MID(AU51,7,2))*1,MID(AU51,4,2)*1,MID(AU51,1,2)*1),"")</f>
        <v/>
      </c>
      <c r="AX51" s="56" t="s">
        <v>450</v>
      </c>
    </row>
    <row r="52" customFormat="false" ht="12.75" hidden="false" customHeight="true" outlineLevel="0" collapsed="false">
      <c r="B52" s="49" t="str">
        <f aca="false">IF(AL52="","tbc",AL52)</f>
        <v>tbc</v>
      </c>
      <c r="C52" s="49" t="str">
        <f aca="false">IF(AM52="","VNT",AM52)</f>
        <v>VNT</v>
      </c>
      <c r="D52" s="49" t="n">
        <f aca="false">MAX(AC52,IF(AW52="none",AC52,AW52))</f>
        <v>0</v>
      </c>
      <c r="E52" s="50" t="n">
        <f aca="false">IFERROR(DAYS360(AC52,D52),0)</f>
        <v>0</v>
      </c>
      <c r="F52" s="50" t="n">
        <f aca="false">((LEN($AQ52)-LEN(SUBSTITUTE($AQ52,CHAR(10)&amp;". ","")))/3)+IF(LEFT(TRIM($AQ52),2)=". ",1,0)</f>
        <v>0</v>
      </c>
      <c r="G52" s="50" t="n">
        <f aca="false">((LEN($AQ52)-LEN(SUBSTITUTE($AQ52,CHAR(10)&amp;"/ ","")))/3)+IF(LEFT(TRIM($AQ52),2)="/ ",1,0)</f>
        <v>0</v>
      </c>
      <c r="H52" s="50" t="n">
        <f aca="false">((LEN($AQ52)-LEN(SUBSTITUTE($AQ52,CHAR(10)&amp;"~ ","")))/3)+IF(LEFT(TRIM($AQ52),2)="~ ",1,0)</f>
        <v>0</v>
      </c>
      <c r="I52" s="50" t="n">
        <f aca="false">((LEN($AQ52)-LEN(SUBSTITUTE($AQ52,CHAR(10)&amp;"! ","")))/3)+IF(LEFT(TRIM($AQ52),2)="! ",1,0)</f>
        <v>0</v>
      </c>
      <c r="J52" s="50" t="n">
        <f aca="false">((LEN($AQ52)-LEN(SUBSTITUTE($AQ52,CHAR(10)&amp;"x ","")))/3)+IF(LEFT(TRIM($AQ52),2)="x ",1,0)</f>
        <v>0</v>
      </c>
      <c r="K52" s="50" t="n">
        <f aca="false">SUM(F52:J52)</f>
        <v>0</v>
      </c>
      <c r="L52" s="51" t="n">
        <f aca="false">YEAR(D52)</f>
        <v>1899</v>
      </c>
      <c r="M52" s="51" t="str">
        <f aca="false">VLOOKUP(MONTH(D52),Static!$AJ$3:$AK$16,2,0)</f>
        <v>Dec</v>
      </c>
      <c r="N52" s="51" t="n">
        <f aca="false">WEEKNUM(D52,1)</f>
        <v>52</v>
      </c>
      <c r="O52" s="51" t="str">
        <f aca="false">IFERROR(INDEX(Static!$I$5:$L$15,MATCH(AF52,Static!$I$5:$I$15,0),3),"Z")</f>
        <v>Z</v>
      </c>
      <c r="P52" s="51" t="str">
        <f aca="false">IFERROR(INDEX(#REF!,MATCH(AN52,#REF!,0),3),"Z")</f>
        <v>Z</v>
      </c>
      <c r="Q52" s="51" t="str">
        <f aca="false">IFERROR(INDEX(Static!$I$5:$L$15,MATCH(AF52,Static!$I$5:$I$15,0),2),"Y")</f>
        <v>Y</v>
      </c>
      <c r="R52" s="51" t="str">
        <f aca="false">IFERROR(INDEX(Static!$I$5:$L$15,MATCH(AF52,Static!$I$5:$I$15,0),4),"Y")</f>
        <v>Y</v>
      </c>
      <c r="S52" s="51" t="str">
        <f aca="false">IF(AND(AJ52&lt;&gt;"",T52="N",$A$1&gt;=AJ52-(7*$D$2)),"Y","N")</f>
        <v>N</v>
      </c>
      <c r="T52" s="51" t="str">
        <f aca="false">IF(AND(AJ52&lt;&gt;"",$A$1&gt;=AJ52),"Y","N")</f>
        <v>N</v>
      </c>
      <c r="U52" s="51" t="str">
        <f aca="false">IF(D52&gt;(($A$1-WEEKDAY($A$1,2))-7*$D$2),"Y","N")</f>
        <v>N</v>
      </c>
      <c r="V52" s="49" t="str">
        <f aca="false">IF(AR52&gt;0,"Y","N")</f>
        <v>N</v>
      </c>
      <c r="W52" s="51" t="str">
        <f aca="false">IF(AND(U52="Y",V52="N"),"Y","N")</f>
        <v>N</v>
      </c>
      <c r="X52" s="52" t="str">
        <f aca="false">IF(OR(S52="Y",AND(V52="Y",T52="Y"), $A$1=AJ52),"Y","N")</f>
        <v>N</v>
      </c>
      <c r="Y52" s="49" t="str">
        <f aca="false">IF(OR(AD52="Y",AD52="N"),AD52,IF(AND(R52="Y", OR(U52="Y",W52="Y", X52="Y")),"Y","N"))</f>
        <v>N</v>
      </c>
      <c r="Z52" s="51" t="str">
        <f aca="false">IF(OR(Q52="Y", V52="Y",X52="Y"),"Y","N")</f>
        <v>Y</v>
      </c>
      <c r="AA52" s="53" t="str">
        <f aca="false">" -  "&amp;O52&amp;AN52</f>
        <v>-  Z</v>
      </c>
      <c r="AB52" s="51" t="str">
        <f aca="false">IFERROR(VLOOKUP(WEEKDAY(AC52),Static!$AL$3:$AM$11,2,0),"")</f>
        <v/>
      </c>
      <c r="AC52" s="49" t="str">
        <f aca="false">IF(AI52&lt;&gt;"",AI52,AV52)</f>
        <v/>
      </c>
      <c r="AD52" s="54"/>
      <c r="AE52" s="54"/>
      <c r="AF52" s="55"/>
      <c r="AG52" s="56"/>
      <c r="AH52" s="56"/>
      <c r="AI52" s="54"/>
      <c r="AJ52" s="54"/>
      <c r="AK52" s="57"/>
      <c r="AL52" s="54"/>
      <c r="AM52" s="54"/>
      <c r="AN52" s="54"/>
      <c r="AO52" s="56"/>
      <c r="AP52" s="56"/>
      <c r="AQ52" s="58"/>
      <c r="AR52" s="51" t="n">
        <f aca="false">SUM(F52:I52)</f>
        <v>0</v>
      </c>
      <c r="AS52" s="59" t="n">
        <f aca="false">IF(AG52="",1,IF(K52&lt;&gt;0,(G52*0.5+J52)/K52,1))</f>
        <v>1</v>
      </c>
      <c r="AT52" s="60" t="str">
        <f aca="false">IF(AP52="","",IF(ISERROR(FIND(CHAR(10),AP52,1)),AP52,LEFT(AP52,FIND(CHAR(10),AP52,1))))</f>
        <v/>
      </c>
      <c r="AU52" s="61" t="str">
        <f aca="false">IF(AP52="","",IFERROR(RIGHT(AP52,LEN(AP52)-FIND("@@@",SUBSTITUTE(AP52,CHAR(10),"@@@",LEN(AP52)-LEN(SUBSTITUTE(AP52,CHAR(10),""))),1)),AP52))</f>
        <v/>
      </c>
      <c r="AV52" s="62" t="str">
        <f aca="false">IFERROR(DATE(("20"&amp;MID(AT52,7,2))*1,MID(AT52,4,2)*1,MID(AT52,1,2)*1),"")</f>
        <v/>
      </c>
      <c r="AW52" s="62" t="str">
        <f aca="false">IFERROR(DATE(("20"&amp;MID(AU52,7,2))*1,MID(AU52,4,2)*1,MID(AU52,1,2)*1),"")</f>
        <v/>
      </c>
      <c r="AX52" s="56" t="s">
        <v>450</v>
      </c>
    </row>
    <row r="53" customFormat="false" ht="12.75" hidden="false" customHeight="true" outlineLevel="0" collapsed="false">
      <c r="B53" s="49" t="str">
        <f aca="false">IF(AL53="","tbc",AL53)</f>
        <v>tbc</v>
      </c>
      <c r="C53" s="49" t="str">
        <f aca="false">IF(AM53="","VNT",AM53)</f>
        <v>VNT</v>
      </c>
      <c r="D53" s="49" t="n">
        <f aca="false">MAX(AC53,IF(AW53="none",AC53,AW53))</f>
        <v>0</v>
      </c>
      <c r="E53" s="50" t="n">
        <f aca="false">IFERROR(DAYS360(AC53,D53),0)</f>
        <v>0</v>
      </c>
      <c r="F53" s="50" t="n">
        <f aca="false">((LEN($AQ53)-LEN(SUBSTITUTE($AQ53,CHAR(10)&amp;". ","")))/3)+IF(LEFT(TRIM($AQ53),2)=". ",1,0)</f>
        <v>0</v>
      </c>
      <c r="G53" s="50" t="n">
        <f aca="false">((LEN($AQ53)-LEN(SUBSTITUTE($AQ53,CHAR(10)&amp;"/ ","")))/3)+IF(LEFT(TRIM($AQ53),2)="/ ",1,0)</f>
        <v>0</v>
      </c>
      <c r="H53" s="50" t="n">
        <f aca="false">((LEN($AQ53)-LEN(SUBSTITUTE($AQ53,CHAR(10)&amp;"~ ","")))/3)+IF(LEFT(TRIM($AQ53),2)="~ ",1,0)</f>
        <v>0</v>
      </c>
      <c r="I53" s="50" t="n">
        <f aca="false">((LEN($AQ53)-LEN(SUBSTITUTE($AQ53,CHAR(10)&amp;"! ","")))/3)+IF(LEFT(TRIM($AQ53),2)="! ",1,0)</f>
        <v>0</v>
      </c>
      <c r="J53" s="50" t="n">
        <f aca="false">((LEN($AQ53)-LEN(SUBSTITUTE($AQ53,CHAR(10)&amp;"x ","")))/3)+IF(LEFT(TRIM($AQ53),2)="x ",1,0)</f>
        <v>0</v>
      </c>
      <c r="K53" s="50" t="n">
        <f aca="false">SUM(F53:J53)</f>
        <v>0</v>
      </c>
      <c r="L53" s="51" t="n">
        <f aca="false">YEAR(D53)</f>
        <v>1899</v>
      </c>
      <c r="M53" s="51" t="str">
        <f aca="false">VLOOKUP(MONTH(D53),Static!$AJ$3:$AK$16,2,0)</f>
        <v>Dec</v>
      </c>
      <c r="N53" s="51" t="n">
        <f aca="false">WEEKNUM(D53,1)</f>
        <v>52</v>
      </c>
      <c r="O53" s="51" t="str">
        <f aca="false">IFERROR(INDEX(Static!$I$5:$L$15,MATCH(AF53,Static!$I$5:$I$15,0),3),"Z")</f>
        <v>Z</v>
      </c>
      <c r="P53" s="51" t="str">
        <f aca="false">IFERROR(INDEX(#REF!,MATCH(AN53,#REF!,0),3),"Z")</f>
        <v>Z</v>
      </c>
      <c r="Q53" s="51" t="str">
        <f aca="false">IFERROR(INDEX(Static!$I$5:$L$15,MATCH(AF53,Static!$I$5:$I$15,0),2),"Y")</f>
        <v>Y</v>
      </c>
      <c r="R53" s="51" t="str">
        <f aca="false">IFERROR(INDEX(Static!$I$5:$L$15,MATCH(AF53,Static!$I$5:$I$15,0),4),"Y")</f>
        <v>Y</v>
      </c>
      <c r="S53" s="51" t="str">
        <f aca="false">IF(AND(AJ53&lt;&gt;"",T53="N",$A$1&gt;=AJ53-(7*$D$2)),"Y","N")</f>
        <v>N</v>
      </c>
      <c r="T53" s="51" t="str">
        <f aca="false">IF(AND(AJ53&lt;&gt;"",$A$1&gt;=AJ53),"Y","N")</f>
        <v>N</v>
      </c>
      <c r="U53" s="51" t="str">
        <f aca="false">IF(D53&gt;(($A$1-WEEKDAY($A$1,2))-7*$D$2),"Y","N")</f>
        <v>N</v>
      </c>
      <c r="V53" s="49" t="str">
        <f aca="false">IF(AR53&gt;0,"Y","N")</f>
        <v>N</v>
      </c>
      <c r="W53" s="51" t="str">
        <f aca="false">IF(AND(U53="Y",V53="N"),"Y","N")</f>
        <v>N</v>
      </c>
      <c r="X53" s="52" t="str">
        <f aca="false">IF(OR(S53="Y",AND(V53="Y",T53="Y"), $A$1=AJ53),"Y","N")</f>
        <v>N</v>
      </c>
      <c r="Y53" s="49" t="str">
        <f aca="false">IF(OR(AD53="Y",AD53="N"),AD53,IF(AND(R53="Y", OR(U53="Y",W53="Y", X53="Y")),"Y","N"))</f>
        <v>N</v>
      </c>
      <c r="Z53" s="51" t="str">
        <f aca="false">IF(OR(Q53="Y", V53="Y",X53="Y"),"Y","N")</f>
        <v>Y</v>
      </c>
      <c r="AA53" s="53" t="str">
        <f aca="false">" -  "&amp;O53&amp;AN53</f>
        <v>-  Z</v>
      </c>
      <c r="AB53" s="51" t="str">
        <f aca="false">IFERROR(VLOOKUP(WEEKDAY(AC53),Static!$AL$3:$AM$11,2,0),"")</f>
        <v/>
      </c>
      <c r="AC53" s="49" t="str">
        <f aca="false">IF(AI53&lt;&gt;"",AI53,AV53)</f>
        <v/>
      </c>
      <c r="AD53" s="54"/>
      <c r="AE53" s="54"/>
      <c r="AF53" s="55"/>
      <c r="AG53" s="56"/>
      <c r="AH53" s="56"/>
      <c r="AI53" s="54"/>
      <c r="AJ53" s="54"/>
      <c r="AK53" s="57"/>
      <c r="AL53" s="54"/>
      <c r="AM53" s="54"/>
      <c r="AN53" s="54"/>
      <c r="AO53" s="56"/>
      <c r="AP53" s="56"/>
      <c r="AQ53" s="56"/>
      <c r="AR53" s="51" t="n">
        <f aca="false">SUM(F53:I53)</f>
        <v>0</v>
      </c>
      <c r="AS53" s="59" t="n">
        <f aca="false">IF(AG53="",1,IF(K53&lt;&gt;0,(G53*0.5+J53)/K53,1))</f>
        <v>1</v>
      </c>
      <c r="AT53" s="60" t="str">
        <f aca="false">IF(AP53="","",IF(ISERROR(FIND(CHAR(10),AP53,1)),AP53,LEFT(AP53,FIND(CHAR(10),AP53,1))))</f>
        <v/>
      </c>
      <c r="AU53" s="61" t="str">
        <f aca="false">IF(AP53="","",IFERROR(RIGHT(AP53,LEN(AP53)-FIND("@@@",SUBSTITUTE(AP53,CHAR(10),"@@@",LEN(AP53)-LEN(SUBSTITUTE(AP53,CHAR(10),""))),1)),AP53))</f>
        <v/>
      </c>
      <c r="AV53" s="62" t="str">
        <f aca="false">IFERROR(DATE(("20"&amp;MID(AT53,7,2))*1,MID(AT53,4,2)*1,MID(AT53,1,2)*1),"")</f>
        <v/>
      </c>
      <c r="AW53" s="62" t="str">
        <f aca="false">IFERROR(DATE(("20"&amp;MID(AU53,7,2))*1,MID(AU53,4,2)*1,MID(AU53,1,2)*1),"")</f>
        <v/>
      </c>
      <c r="AX53" s="56" t="s">
        <v>450</v>
      </c>
    </row>
    <row r="54" customFormat="false" ht="12.75" hidden="false" customHeight="true" outlineLevel="0" collapsed="false">
      <c r="B54" s="49" t="str">
        <f aca="false">IF(AL54="","tbc",AL54)</f>
        <v>tbc</v>
      </c>
      <c r="C54" s="49" t="str">
        <f aca="false">IF(AM54="","VNT",AM54)</f>
        <v>VNT</v>
      </c>
      <c r="D54" s="49" t="n">
        <f aca="false">MAX(AC54,IF(AW54="none",AC54,AW54))</f>
        <v>0</v>
      </c>
      <c r="E54" s="50" t="n">
        <f aca="false">IFERROR(DAYS360(AC54,D54),0)</f>
        <v>0</v>
      </c>
      <c r="F54" s="50" t="n">
        <f aca="false">((LEN($AQ54)-LEN(SUBSTITUTE($AQ54,CHAR(10)&amp;". ","")))/3)+IF(LEFT(TRIM($AQ54),2)=". ",1,0)</f>
        <v>0</v>
      </c>
      <c r="G54" s="50" t="n">
        <f aca="false">((LEN($AQ54)-LEN(SUBSTITUTE($AQ54,CHAR(10)&amp;"/ ","")))/3)+IF(LEFT(TRIM($AQ54),2)="/ ",1,0)</f>
        <v>0</v>
      </c>
      <c r="H54" s="50" t="n">
        <f aca="false">((LEN($AQ54)-LEN(SUBSTITUTE($AQ54,CHAR(10)&amp;"~ ","")))/3)+IF(LEFT(TRIM($AQ54),2)="~ ",1,0)</f>
        <v>0</v>
      </c>
      <c r="I54" s="50" t="n">
        <f aca="false">((LEN($AQ54)-LEN(SUBSTITUTE($AQ54,CHAR(10)&amp;"! ","")))/3)+IF(LEFT(TRIM($AQ54),2)="! ",1,0)</f>
        <v>0</v>
      </c>
      <c r="J54" s="50" t="n">
        <f aca="false">((LEN($AQ54)-LEN(SUBSTITUTE($AQ54,CHAR(10)&amp;"x ","")))/3)+IF(LEFT(TRIM($AQ54),2)="x ",1,0)</f>
        <v>0</v>
      </c>
      <c r="K54" s="50" t="n">
        <f aca="false">SUM(F54:J54)</f>
        <v>0</v>
      </c>
      <c r="L54" s="51" t="n">
        <f aca="false">YEAR(D54)</f>
        <v>1899</v>
      </c>
      <c r="M54" s="51" t="str">
        <f aca="false">VLOOKUP(MONTH(D54),Static!$AJ$3:$AK$16,2,0)</f>
        <v>Dec</v>
      </c>
      <c r="N54" s="51" t="n">
        <f aca="false">WEEKNUM(D54,1)</f>
        <v>52</v>
      </c>
      <c r="O54" s="51" t="str">
        <f aca="false">IFERROR(INDEX(Static!$I$5:$L$15,MATCH(AF54,Static!$I$5:$I$15,0),3),"Z")</f>
        <v>Z</v>
      </c>
      <c r="P54" s="51" t="str">
        <f aca="false">IFERROR(INDEX(#REF!,MATCH(AN54,#REF!,0),3),"Z")</f>
        <v>Z</v>
      </c>
      <c r="Q54" s="51" t="str">
        <f aca="false">IFERROR(INDEX(Static!$I$5:$L$15,MATCH(AF54,Static!$I$5:$I$15,0),2),"Y")</f>
        <v>Y</v>
      </c>
      <c r="R54" s="51" t="str">
        <f aca="false">IFERROR(INDEX(Static!$I$5:$L$15,MATCH(AF54,Static!$I$5:$I$15,0),4),"Y")</f>
        <v>Y</v>
      </c>
      <c r="S54" s="51" t="str">
        <f aca="false">IF(AND(AJ54&lt;&gt;"",T54="N",$A$1&gt;=AJ54-(7*$D$2)),"Y","N")</f>
        <v>N</v>
      </c>
      <c r="T54" s="51" t="str">
        <f aca="false">IF(AND(AJ54&lt;&gt;"",$A$1&gt;=AJ54),"Y","N")</f>
        <v>N</v>
      </c>
      <c r="U54" s="51" t="str">
        <f aca="false">IF(D54&gt;(($A$1-WEEKDAY($A$1,2))-7*$D$2),"Y","N")</f>
        <v>N</v>
      </c>
      <c r="V54" s="49" t="str">
        <f aca="false">IF(AR54&gt;0,"Y","N")</f>
        <v>N</v>
      </c>
      <c r="W54" s="51" t="str">
        <f aca="false">IF(AND(U54="Y",V54="N"),"Y","N")</f>
        <v>N</v>
      </c>
      <c r="X54" s="52" t="str">
        <f aca="false">IF(OR(S54="Y",AND(V54="Y",T54="Y"), $A$1=AJ54),"Y","N")</f>
        <v>N</v>
      </c>
      <c r="Y54" s="49" t="str">
        <f aca="false">IF(OR(AD54="Y",AD54="N"),AD54,IF(AND(R54="Y", OR(U54="Y",W54="Y", X54="Y")),"Y","N"))</f>
        <v>N</v>
      </c>
      <c r="Z54" s="51" t="str">
        <f aca="false">IF(OR(Q54="Y", V54="Y",X54="Y"),"Y","N")</f>
        <v>Y</v>
      </c>
      <c r="AA54" s="53" t="str">
        <f aca="false">" -  "&amp;O54&amp;AN54</f>
        <v>-  Z</v>
      </c>
      <c r="AB54" s="51" t="str">
        <f aca="false">IFERROR(VLOOKUP(WEEKDAY(AC54),Static!$AL$3:$AM$11,2,0),"")</f>
        <v/>
      </c>
      <c r="AC54" s="49" t="str">
        <f aca="false">IF(AI54&lt;&gt;"",AI54,AV54)</f>
        <v/>
      </c>
      <c r="AD54" s="54"/>
      <c r="AE54" s="54"/>
      <c r="AF54" s="55"/>
      <c r="AG54" s="56"/>
      <c r="AH54" s="56"/>
      <c r="AI54" s="54"/>
      <c r="AJ54" s="54"/>
      <c r="AK54" s="57"/>
      <c r="AL54" s="54"/>
      <c r="AM54" s="54"/>
      <c r="AN54" s="54"/>
      <c r="AO54" s="56"/>
      <c r="AP54" s="56"/>
      <c r="AQ54" s="58"/>
      <c r="AR54" s="51" t="n">
        <f aca="false">SUM(F54:I54)</f>
        <v>0</v>
      </c>
      <c r="AS54" s="59" t="n">
        <f aca="false">IF(AG54="",1,IF(K54&lt;&gt;0,(G54*0.5+J54)/K54,1))</f>
        <v>1</v>
      </c>
      <c r="AT54" s="60" t="str">
        <f aca="false">IF(AP54="","",IF(ISERROR(FIND(CHAR(10),AP54,1)),AP54,LEFT(AP54,FIND(CHAR(10),AP54,1))))</f>
        <v/>
      </c>
      <c r="AU54" s="61" t="str">
        <f aca="false">IF(AP54="","",IFERROR(RIGHT(AP54,LEN(AP54)-FIND("@@@",SUBSTITUTE(AP54,CHAR(10),"@@@",LEN(AP54)-LEN(SUBSTITUTE(AP54,CHAR(10),""))),1)),AP54))</f>
        <v/>
      </c>
      <c r="AV54" s="62" t="str">
        <f aca="false">IFERROR(DATE(("20"&amp;MID(AT54,7,2))*1,MID(AT54,4,2)*1,MID(AT54,1,2)*1),"")</f>
        <v/>
      </c>
      <c r="AW54" s="62" t="str">
        <f aca="false">IFERROR(DATE(("20"&amp;MID(AU54,7,2))*1,MID(AU54,4,2)*1,MID(AU54,1,2)*1),"")</f>
        <v/>
      </c>
      <c r="AX54" s="56" t="s">
        <v>450</v>
      </c>
    </row>
    <row r="55" customFormat="false" ht="12.75" hidden="false" customHeight="true" outlineLevel="0" collapsed="false">
      <c r="B55" s="49" t="str">
        <f aca="false">IF(AL55="","tbc",AL55)</f>
        <v>tbc</v>
      </c>
      <c r="C55" s="49" t="str">
        <f aca="false">IF(AM55="","VNT",AM55)</f>
        <v>VNT</v>
      </c>
      <c r="D55" s="49" t="n">
        <f aca="false">MAX(AC55,IF(AW55="none",AC55,AW55))</f>
        <v>0</v>
      </c>
      <c r="E55" s="50" t="n">
        <f aca="false">IFERROR(DAYS360(AC55,D55),0)</f>
        <v>0</v>
      </c>
      <c r="F55" s="50" t="n">
        <f aca="false">((LEN($AQ55)-LEN(SUBSTITUTE($AQ55,CHAR(10)&amp;". ","")))/3)+IF(LEFT(TRIM($AQ55),2)=". ",1,0)</f>
        <v>0</v>
      </c>
      <c r="G55" s="50" t="n">
        <f aca="false">((LEN($AQ55)-LEN(SUBSTITUTE($AQ55,CHAR(10)&amp;"/ ","")))/3)+IF(LEFT(TRIM($AQ55),2)="/ ",1,0)</f>
        <v>0</v>
      </c>
      <c r="H55" s="50" t="n">
        <f aca="false">((LEN($AQ55)-LEN(SUBSTITUTE($AQ55,CHAR(10)&amp;"~ ","")))/3)+IF(LEFT(TRIM($AQ55),2)="~ ",1,0)</f>
        <v>0</v>
      </c>
      <c r="I55" s="50" t="n">
        <f aca="false">((LEN($AQ55)-LEN(SUBSTITUTE($AQ55,CHAR(10)&amp;"! ","")))/3)+IF(LEFT(TRIM($AQ55),2)="! ",1,0)</f>
        <v>0</v>
      </c>
      <c r="J55" s="50" t="n">
        <f aca="false">((LEN($AQ55)-LEN(SUBSTITUTE($AQ55,CHAR(10)&amp;"x ","")))/3)+IF(LEFT(TRIM($AQ55),2)="x ",1,0)</f>
        <v>0</v>
      </c>
      <c r="K55" s="50" t="n">
        <f aca="false">SUM(F55:J55)</f>
        <v>0</v>
      </c>
      <c r="L55" s="51" t="n">
        <f aca="false">YEAR(D55)</f>
        <v>1899</v>
      </c>
      <c r="M55" s="51" t="str">
        <f aca="false">VLOOKUP(MONTH(D55),Static!$AJ$3:$AK$16,2,0)</f>
        <v>Dec</v>
      </c>
      <c r="N55" s="51" t="n">
        <f aca="false">WEEKNUM(D55,1)</f>
        <v>52</v>
      </c>
      <c r="O55" s="51" t="str">
        <f aca="false">IFERROR(INDEX(Static!$I$5:$L$15,MATCH(AF55,Static!$I$5:$I$15,0),3),"Z")</f>
        <v>Z</v>
      </c>
      <c r="P55" s="51" t="str">
        <f aca="false">IFERROR(INDEX(#REF!,MATCH(AN55,#REF!,0),3),"Z")</f>
        <v>Z</v>
      </c>
      <c r="Q55" s="51" t="str">
        <f aca="false">IFERROR(INDEX(Static!$I$5:$L$15,MATCH(AF55,Static!$I$5:$I$15,0),2),"Y")</f>
        <v>Y</v>
      </c>
      <c r="R55" s="51" t="str">
        <f aca="false">IFERROR(INDEX(Static!$I$5:$L$15,MATCH(AF55,Static!$I$5:$I$15,0),4),"Y")</f>
        <v>Y</v>
      </c>
      <c r="S55" s="51" t="str">
        <f aca="false">IF(AND(AJ55&lt;&gt;"",T55="N",$A$1&gt;=AJ55-(7*$D$2)),"Y","N")</f>
        <v>N</v>
      </c>
      <c r="T55" s="51" t="str">
        <f aca="false">IF(AND(AJ55&lt;&gt;"",$A$1&gt;=AJ55),"Y","N")</f>
        <v>N</v>
      </c>
      <c r="U55" s="51" t="str">
        <f aca="false">IF(D55&gt;(($A$1-WEEKDAY($A$1,2))-7*$D$2),"Y","N")</f>
        <v>N</v>
      </c>
      <c r="V55" s="49" t="str">
        <f aca="false">IF(AR55&gt;0,"Y","N")</f>
        <v>N</v>
      </c>
      <c r="W55" s="51" t="str">
        <f aca="false">IF(AND(U55="Y",V55="N"),"Y","N")</f>
        <v>N</v>
      </c>
      <c r="X55" s="52" t="str">
        <f aca="false">IF(OR(S55="Y",AND(V55="Y",T55="Y"), $A$1=AJ55),"Y","N")</f>
        <v>N</v>
      </c>
      <c r="Y55" s="49" t="str">
        <f aca="false">IF(OR(AD55="Y",AD55="N"),AD55,IF(AND(R55="Y", OR(U55="Y",W55="Y", X55="Y")),"Y","N"))</f>
        <v>N</v>
      </c>
      <c r="Z55" s="51" t="str">
        <f aca="false">IF(OR(Q55="Y", V55="Y",X55="Y"),"Y","N")</f>
        <v>Y</v>
      </c>
      <c r="AA55" s="53" t="str">
        <f aca="false">" -  "&amp;O55&amp;AN55</f>
        <v>-  Z</v>
      </c>
      <c r="AB55" s="51" t="str">
        <f aca="false">IFERROR(VLOOKUP(WEEKDAY(AC55),Static!$AL$3:$AM$11,2,0),"")</f>
        <v/>
      </c>
      <c r="AC55" s="49" t="str">
        <f aca="false">IF(AI55&lt;&gt;"",AI55,AV55)</f>
        <v/>
      </c>
      <c r="AD55" s="54"/>
      <c r="AE55" s="54"/>
      <c r="AF55" s="55"/>
      <c r="AG55" s="56"/>
      <c r="AH55" s="56"/>
      <c r="AI55" s="54"/>
      <c r="AJ55" s="54"/>
      <c r="AK55" s="57"/>
      <c r="AL55" s="54"/>
      <c r="AM55" s="54"/>
      <c r="AN55" s="54"/>
      <c r="AO55" s="56"/>
      <c r="AP55" s="56"/>
      <c r="AQ55" s="58"/>
      <c r="AR55" s="51" t="n">
        <f aca="false">SUM(F55:I55)</f>
        <v>0</v>
      </c>
      <c r="AS55" s="59" t="n">
        <f aca="false">IF(AG55="",1,IF(K55&lt;&gt;0,(G55*0.5+J55)/K55,1))</f>
        <v>1</v>
      </c>
      <c r="AT55" s="60" t="str">
        <f aca="false">IF(AP55="","",IF(ISERROR(FIND(CHAR(10),AP55,1)),AP55,LEFT(AP55,FIND(CHAR(10),AP55,1))))</f>
        <v/>
      </c>
      <c r="AU55" s="61" t="str">
        <f aca="false">IF(AP55="","",IFERROR(RIGHT(AP55,LEN(AP55)-FIND("@@@",SUBSTITUTE(AP55,CHAR(10),"@@@",LEN(AP55)-LEN(SUBSTITUTE(AP55,CHAR(10),""))),1)),AP55))</f>
        <v/>
      </c>
      <c r="AV55" s="62" t="str">
        <f aca="false">IFERROR(DATE(("20"&amp;MID(AT55,7,2))*1,MID(AT55,4,2)*1,MID(AT55,1,2)*1),"")</f>
        <v/>
      </c>
      <c r="AW55" s="62" t="str">
        <f aca="false">IFERROR(DATE(("20"&amp;MID(AU55,7,2))*1,MID(AU55,4,2)*1,MID(AU55,1,2)*1),"")</f>
        <v/>
      </c>
      <c r="AX55" s="56" t="s">
        <v>450</v>
      </c>
    </row>
    <row r="56" customFormat="false" ht="12.75" hidden="false" customHeight="true" outlineLevel="0" collapsed="false">
      <c r="B56" s="49" t="str">
        <f aca="false">IF(AL56="","tbc",AL56)</f>
        <v>tbc</v>
      </c>
      <c r="C56" s="49" t="str">
        <f aca="false">IF(AM56="","VNT",AM56)</f>
        <v>VNT</v>
      </c>
      <c r="D56" s="49" t="n">
        <f aca="false">MAX(AC56,IF(AW56="none",AC56,AW56))</f>
        <v>0</v>
      </c>
      <c r="E56" s="50" t="n">
        <f aca="false">IFERROR(DAYS360(AC56,D56),0)</f>
        <v>0</v>
      </c>
      <c r="F56" s="50" t="n">
        <f aca="false">((LEN($AQ56)-LEN(SUBSTITUTE($AQ56,CHAR(10)&amp;". ","")))/3)+IF(LEFT(TRIM($AQ56),2)=". ",1,0)</f>
        <v>0</v>
      </c>
      <c r="G56" s="50" t="n">
        <f aca="false">((LEN($AQ56)-LEN(SUBSTITUTE($AQ56,CHAR(10)&amp;"/ ","")))/3)+IF(LEFT(TRIM($AQ56),2)="/ ",1,0)</f>
        <v>0</v>
      </c>
      <c r="H56" s="50" t="n">
        <f aca="false">((LEN($AQ56)-LEN(SUBSTITUTE($AQ56,CHAR(10)&amp;"~ ","")))/3)+IF(LEFT(TRIM($AQ56),2)="~ ",1,0)</f>
        <v>0</v>
      </c>
      <c r="I56" s="50" t="n">
        <f aca="false">((LEN($AQ56)-LEN(SUBSTITUTE($AQ56,CHAR(10)&amp;"! ","")))/3)+IF(LEFT(TRIM($AQ56),2)="! ",1,0)</f>
        <v>0</v>
      </c>
      <c r="J56" s="50" t="n">
        <f aca="false">((LEN($AQ56)-LEN(SUBSTITUTE($AQ56,CHAR(10)&amp;"x ","")))/3)+IF(LEFT(TRIM($AQ56),2)="x ",1,0)</f>
        <v>0</v>
      </c>
      <c r="K56" s="50" t="n">
        <f aca="false">SUM(F56:J56)</f>
        <v>0</v>
      </c>
      <c r="L56" s="51" t="n">
        <f aca="false">YEAR(D56)</f>
        <v>1899</v>
      </c>
      <c r="M56" s="51" t="str">
        <f aca="false">VLOOKUP(MONTH(D56),Static!$AJ$3:$AK$16,2,0)</f>
        <v>Dec</v>
      </c>
      <c r="N56" s="51" t="n">
        <f aca="false">WEEKNUM(D56,1)</f>
        <v>52</v>
      </c>
      <c r="O56" s="51" t="str">
        <f aca="false">IFERROR(INDEX(Static!$I$5:$L$15,MATCH(AF56,Static!$I$5:$I$15,0),3),"Z")</f>
        <v>Z</v>
      </c>
      <c r="P56" s="51" t="str">
        <f aca="false">IFERROR(INDEX(#REF!,MATCH(AN56,#REF!,0),3),"Z")</f>
        <v>Z</v>
      </c>
      <c r="Q56" s="51" t="str">
        <f aca="false">IFERROR(INDEX(Static!$I$5:$L$15,MATCH(AF56,Static!$I$5:$I$15,0),2),"Y")</f>
        <v>Y</v>
      </c>
      <c r="R56" s="51" t="str">
        <f aca="false">IFERROR(INDEX(Static!$I$5:$L$15,MATCH(AF56,Static!$I$5:$I$15,0),4),"Y")</f>
        <v>Y</v>
      </c>
      <c r="S56" s="51" t="str">
        <f aca="false">IF(AND(AJ56&lt;&gt;"",T56="N",$A$1&gt;=AJ56-(7*$D$2)),"Y","N")</f>
        <v>N</v>
      </c>
      <c r="T56" s="51" t="str">
        <f aca="false">IF(AND(AJ56&lt;&gt;"",$A$1&gt;=AJ56),"Y","N")</f>
        <v>N</v>
      </c>
      <c r="U56" s="51" t="str">
        <f aca="false">IF(D56&gt;(($A$1-WEEKDAY($A$1,2))-7*$D$2),"Y","N")</f>
        <v>N</v>
      </c>
      <c r="V56" s="49" t="str">
        <f aca="false">IF(AR56&gt;0,"Y","N")</f>
        <v>N</v>
      </c>
      <c r="W56" s="51" t="str">
        <f aca="false">IF(AND(U56="Y",V56="N"),"Y","N")</f>
        <v>N</v>
      </c>
      <c r="X56" s="52" t="str">
        <f aca="false">IF(OR(S56="Y",AND(V56="Y",T56="Y"), $A$1=AJ56),"Y","N")</f>
        <v>N</v>
      </c>
      <c r="Y56" s="49" t="str">
        <f aca="false">IF(OR(AD56="Y",AD56="N"),AD56,IF(AND(R56="Y", OR(U56="Y",W56="Y", X56="Y")),"Y","N"))</f>
        <v>N</v>
      </c>
      <c r="Z56" s="51" t="str">
        <f aca="false">IF(OR(Q56="Y", V56="Y",X56="Y"),"Y","N")</f>
        <v>Y</v>
      </c>
      <c r="AA56" s="53" t="str">
        <f aca="false">" -  "&amp;O56&amp;AN56</f>
        <v>-  Z</v>
      </c>
      <c r="AB56" s="51" t="str">
        <f aca="false">IFERROR(VLOOKUP(WEEKDAY(AC56),Static!$AL$3:$AM$11,2,0),"")</f>
        <v/>
      </c>
      <c r="AC56" s="49" t="str">
        <f aca="false">IF(AI56&lt;&gt;"",AI56,AV56)</f>
        <v/>
      </c>
      <c r="AD56" s="54"/>
      <c r="AE56" s="54"/>
      <c r="AF56" s="55"/>
      <c r="AG56" s="56"/>
      <c r="AH56" s="56"/>
      <c r="AI56" s="54"/>
      <c r="AJ56" s="54"/>
      <c r="AK56" s="57"/>
      <c r="AL56" s="54"/>
      <c r="AM56" s="54"/>
      <c r="AN56" s="54"/>
      <c r="AO56" s="56"/>
      <c r="AP56" s="56"/>
      <c r="AQ56" s="56"/>
      <c r="AR56" s="51" t="n">
        <f aca="false">SUM(F56:I56)</f>
        <v>0</v>
      </c>
      <c r="AS56" s="59" t="n">
        <f aca="false">IF(AG56="",1,IF(K56&lt;&gt;0,(G56*0.5+J56)/K56,1))</f>
        <v>1</v>
      </c>
      <c r="AT56" s="60" t="str">
        <f aca="false">IF(AP56="","",IF(ISERROR(FIND(CHAR(10),AP56,1)),AP56,LEFT(AP56,FIND(CHAR(10),AP56,1))))</f>
        <v/>
      </c>
      <c r="AU56" s="61" t="str">
        <f aca="false">IF(AP56="","",IFERROR(RIGHT(AP56,LEN(AP56)-FIND("@@@",SUBSTITUTE(AP56,CHAR(10),"@@@",LEN(AP56)-LEN(SUBSTITUTE(AP56,CHAR(10),""))),1)),AP56))</f>
        <v/>
      </c>
      <c r="AV56" s="62" t="str">
        <f aca="false">IFERROR(DATE(("20"&amp;MID(AT56,7,2))*1,MID(AT56,4,2)*1,MID(AT56,1,2)*1),"")</f>
        <v/>
      </c>
      <c r="AW56" s="62" t="str">
        <f aca="false">IFERROR(DATE(("20"&amp;MID(AU56,7,2))*1,MID(AU56,4,2)*1,MID(AU56,1,2)*1),"")</f>
        <v/>
      </c>
      <c r="AX56" s="56" t="s">
        <v>450</v>
      </c>
    </row>
    <row r="57" customFormat="false" ht="12.75" hidden="false" customHeight="true" outlineLevel="0" collapsed="false">
      <c r="B57" s="49" t="str">
        <f aca="false">IF(AL57="","tbc",AL57)</f>
        <v>tbc</v>
      </c>
      <c r="C57" s="49" t="str">
        <f aca="false">IF(AM57="","VNT",AM57)</f>
        <v>VNT</v>
      </c>
      <c r="D57" s="49" t="n">
        <f aca="false">MAX(AC57,IF(AW57="none",AC57,AW57))</f>
        <v>0</v>
      </c>
      <c r="E57" s="50" t="n">
        <f aca="false">IFERROR(DAYS360(AC57,D57),0)</f>
        <v>0</v>
      </c>
      <c r="F57" s="50" t="n">
        <f aca="false">((LEN($AQ57)-LEN(SUBSTITUTE($AQ57,CHAR(10)&amp;". ","")))/3)+IF(LEFT(TRIM($AQ57),2)=". ",1,0)</f>
        <v>0</v>
      </c>
      <c r="G57" s="50" t="n">
        <f aca="false">((LEN($AQ57)-LEN(SUBSTITUTE($AQ57,CHAR(10)&amp;"/ ","")))/3)+IF(LEFT(TRIM($AQ57),2)="/ ",1,0)</f>
        <v>0</v>
      </c>
      <c r="H57" s="50" t="n">
        <f aca="false">((LEN($AQ57)-LEN(SUBSTITUTE($AQ57,CHAR(10)&amp;"~ ","")))/3)+IF(LEFT(TRIM($AQ57),2)="~ ",1,0)</f>
        <v>0</v>
      </c>
      <c r="I57" s="50" t="n">
        <f aca="false">((LEN($AQ57)-LEN(SUBSTITUTE($AQ57,CHAR(10)&amp;"! ","")))/3)+IF(LEFT(TRIM($AQ57),2)="! ",1,0)</f>
        <v>0</v>
      </c>
      <c r="J57" s="50" t="n">
        <f aca="false">((LEN($AQ57)-LEN(SUBSTITUTE($AQ57,CHAR(10)&amp;"x ","")))/3)+IF(LEFT(TRIM($AQ57),2)="x ",1,0)</f>
        <v>0</v>
      </c>
      <c r="K57" s="50" t="n">
        <f aca="false">SUM(F57:J57)</f>
        <v>0</v>
      </c>
      <c r="L57" s="51" t="n">
        <f aca="false">YEAR(D57)</f>
        <v>1899</v>
      </c>
      <c r="M57" s="51" t="str">
        <f aca="false">VLOOKUP(MONTH(D57),Static!$AJ$3:$AK$16,2,0)</f>
        <v>Dec</v>
      </c>
      <c r="N57" s="51" t="n">
        <f aca="false">WEEKNUM(D57,1)</f>
        <v>52</v>
      </c>
      <c r="O57" s="51" t="str">
        <f aca="false">IFERROR(INDEX(Static!$I$5:$L$15,MATCH(AF57,Static!$I$5:$I$15,0),3),"Z")</f>
        <v>Z</v>
      </c>
      <c r="P57" s="51" t="str">
        <f aca="false">IFERROR(INDEX(#REF!,MATCH(AN57,#REF!,0),3),"Z")</f>
        <v>Z</v>
      </c>
      <c r="Q57" s="51" t="str">
        <f aca="false">IFERROR(INDEX(Static!$I$5:$L$15,MATCH(AF57,Static!$I$5:$I$15,0),2),"Y")</f>
        <v>Y</v>
      </c>
      <c r="R57" s="51" t="str">
        <f aca="false">IFERROR(INDEX(Static!$I$5:$L$15,MATCH(AF57,Static!$I$5:$I$15,0),4),"Y")</f>
        <v>Y</v>
      </c>
      <c r="S57" s="51" t="str">
        <f aca="false">IF(AND(AJ57&lt;&gt;"",T57="N",$A$1&gt;=AJ57-(7*$D$2)),"Y","N")</f>
        <v>N</v>
      </c>
      <c r="T57" s="51" t="str">
        <f aca="false">IF(AND(AJ57&lt;&gt;"",$A$1&gt;=AJ57),"Y","N")</f>
        <v>N</v>
      </c>
      <c r="U57" s="51" t="str">
        <f aca="false">IF(D57&gt;(($A$1-WEEKDAY($A$1,2))-7*$D$2),"Y","N")</f>
        <v>N</v>
      </c>
      <c r="V57" s="49" t="str">
        <f aca="false">IF(AR57&gt;0,"Y","N")</f>
        <v>N</v>
      </c>
      <c r="W57" s="51" t="str">
        <f aca="false">IF(AND(U57="Y",V57="N"),"Y","N")</f>
        <v>N</v>
      </c>
      <c r="X57" s="52" t="str">
        <f aca="false">IF(OR(S57="Y",AND(V57="Y",T57="Y"), $A$1=AJ57),"Y","N")</f>
        <v>N</v>
      </c>
      <c r="Y57" s="49" t="str">
        <f aca="false">IF(OR(AD57="Y",AD57="N"),AD57,IF(AND(R57="Y", OR(U57="Y",W57="Y", X57="Y")),"Y","N"))</f>
        <v>N</v>
      </c>
      <c r="Z57" s="51" t="str">
        <f aca="false">IF(OR(Q57="Y", V57="Y",X57="Y"),"Y","N")</f>
        <v>Y</v>
      </c>
      <c r="AA57" s="53" t="str">
        <f aca="false">" -  "&amp;O57&amp;AN57</f>
        <v>-  Z</v>
      </c>
      <c r="AB57" s="51" t="str">
        <f aca="false">IFERROR(VLOOKUP(WEEKDAY(AC57),Static!$AL$3:$AM$11,2,0),"")</f>
        <v/>
      </c>
      <c r="AC57" s="49" t="str">
        <f aca="false">IF(AI57&lt;&gt;"",AI57,AV57)</f>
        <v/>
      </c>
      <c r="AD57" s="54"/>
      <c r="AE57" s="54"/>
      <c r="AF57" s="55"/>
      <c r="AG57" s="56"/>
      <c r="AH57" s="56"/>
      <c r="AI57" s="54"/>
      <c r="AJ57" s="54"/>
      <c r="AK57" s="57"/>
      <c r="AL57" s="54"/>
      <c r="AM57" s="54"/>
      <c r="AN57" s="54"/>
      <c r="AO57" s="56"/>
      <c r="AP57" s="56"/>
      <c r="AQ57" s="58"/>
      <c r="AR57" s="51" t="n">
        <f aca="false">SUM(F57:I57)</f>
        <v>0</v>
      </c>
      <c r="AS57" s="59" t="n">
        <f aca="false">IF(AG57="",1,IF(K57&lt;&gt;0,(G57*0.5+J57)/K57,1))</f>
        <v>1</v>
      </c>
      <c r="AT57" s="60" t="str">
        <f aca="false">IF(AP57="","",IF(ISERROR(FIND(CHAR(10),AP57,1)),AP57,LEFT(AP57,FIND(CHAR(10),AP57,1))))</f>
        <v/>
      </c>
      <c r="AU57" s="61" t="str">
        <f aca="false">IF(AP57="","",IFERROR(RIGHT(AP57,LEN(AP57)-FIND("@@@",SUBSTITUTE(AP57,CHAR(10),"@@@",LEN(AP57)-LEN(SUBSTITUTE(AP57,CHAR(10),""))),1)),AP57))</f>
        <v/>
      </c>
      <c r="AV57" s="62" t="str">
        <f aca="false">IFERROR(DATE(("20"&amp;MID(AT57,7,2))*1,MID(AT57,4,2)*1,MID(AT57,1,2)*1),"")</f>
        <v/>
      </c>
      <c r="AW57" s="62" t="str">
        <f aca="false">IFERROR(DATE(("20"&amp;MID(AU57,7,2))*1,MID(AU57,4,2)*1,MID(AU57,1,2)*1),"")</f>
        <v/>
      </c>
      <c r="AX57" s="56" t="s">
        <v>450</v>
      </c>
    </row>
    <row r="58" customFormat="false" ht="12.75" hidden="false" customHeight="true" outlineLevel="0" collapsed="false">
      <c r="B58" s="49" t="str">
        <f aca="false">IF(AL58="","tbc",AL58)</f>
        <v>tbc</v>
      </c>
      <c r="C58" s="49" t="str">
        <f aca="false">IF(AM58="","VNT",AM58)</f>
        <v>VNT</v>
      </c>
      <c r="D58" s="49" t="n">
        <f aca="false">MAX(AC58,IF(AW58="none",AC58,AW58))</f>
        <v>0</v>
      </c>
      <c r="E58" s="50" t="n">
        <f aca="false">IFERROR(DAYS360(AC58,D58),0)</f>
        <v>0</v>
      </c>
      <c r="F58" s="50" t="n">
        <f aca="false">((LEN($AQ58)-LEN(SUBSTITUTE($AQ58,CHAR(10)&amp;". ","")))/3)+IF(LEFT(TRIM($AQ58),2)=". ",1,0)</f>
        <v>0</v>
      </c>
      <c r="G58" s="50" t="n">
        <f aca="false">((LEN($AQ58)-LEN(SUBSTITUTE($AQ58,CHAR(10)&amp;"/ ","")))/3)+IF(LEFT(TRIM($AQ58),2)="/ ",1,0)</f>
        <v>0</v>
      </c>
      <c r="H58" s="50" t="n">
        <f aca="false">((LEN($AQ58)-LEN(SUBSTITUTE($AQ58,CHAR(10)&amp;"~ ","")))/3)+IF(LEFT(TRIM($AQ58),2)="~ ",1,0)</f>
        <v>0</v>
      </c>
      <c r="I58" s="50" t="n">
        <f aca="false">((LEN($AQ58)-LEN(SUBSTITUTE($AQ58,CHAR(10)&amp;"! ","")))/3)+IF(LEFT(TRIM($AQ58),2)="! ",1,0)</f>
        <v>0</v>
      </c>
      <c r="J58" s="50" t="n">
        <f aca="false">((LEN($AQ58)-LEN(SUBSTITUTE($AQ58,CHAR(10)&amp;"x ","")))/3)+IF(LEFT(TRIM($AQ58),2)="x ",1,0)</f>
        <v>0</v>
      </c>
      <c r="K58" s="50" t="n">
        <f aca="false">SUM(F58:J58)</f>
        <v>0</v>
      </c>
      <c r="L58" s="51" t="n">
        <f aca="false">YEAR(D58)</f>
        <v>1899</v>
      </c>
      <c r="M58" s="51" t="str">
        <f aca="false">VLOOKUP(MONTH(D58),Static!$AJ$3:$AK$16,2,0)</f>
        <v>Dec</v>
      </c>
      <c r="N58" s="51" t="n">
        <f aca="false">WEEKNUM(D58,1)</f>
        <v>52</v>
      </c>
      <c r="O58" s="51" t="str">
        <f aca="false">IFERROR(INDEX(Static!$I$5:$L$15,MATCH(AF58,Static!$I$5:$I$15,0),3),"Z")</f>
        <v>Z</v>
      </c>
      <c r="P58" s="51" t="str">
        <f aca="false">IFERROR(INDEX(#REF!,MATCH(AN58,#REF!,0),3),"Z")</f>
        <v>Z</v>
      </c>
      <c r="Q58" s="51" t="str">
        <f aca="false">IFERROR(INDEX(Static!$I$5:$L$15,MATCH(AF58,Static!$I$5:$I$15,0),2),"Y")</f>
        <v>Y</v>
      </c>
      <c r="R58" s="51" t="str">
        <f aca="false">IFERROR(INDEX(Static!$I$5:$L$15,MATCH(AF58,Static!$I$5:$I$15,0),4),"Y")</f>
        <v>Y</v>
      </c>
      <c r="S58" s="51" t="str">
        <f aca="false">IF(AND(AJ58&lt;&gt;"",T58="N",$A$1&gt;=AJ58-(7*$D$2)),"Y","N")</f>
        <v>N</v>
      </c>
      <c r="T58" s="51" t="str">
        <f aca="false">IF(AND(AJ58&lt;&gt;"",$A$1&gt;=AJ58),"Y","N")</f>
        <v>N</v>
      </c>
      <c r="U58" s="51" t="str">
        <f aca="false">IF(D58&gt;(($A$1-WEEKDAY($A$1,2))-7*$D$2),"Y","N")</f>
        <v>N</v>
      </c>
      <c r="V58" s="49" t="str">
        <f aca="false">IF(AR58&gt;0,"Y","N")</f>
        <v>N</v>
      </c>
      <c r="W58" s="51" t="str">
        <f aca="false">IF(AND(U58="Y",V58="N"),"Y","N")</f>
        <v>N</v>
      </c>
      <c r="X58" s="52" t="str">
        <f aca="false">IF(OR(S58="Y",AND(V58="Y",T58="Y"), $A$1=AJ58),"Y","N")</f>
        <v>N</v>
      </c>
      <c r="Y58" s="49" t="str">
        <f aca="false">IF(OR(AD58="Y",AD58="N"),AD58,IF(AND(R58="Y", OR(U58="Y",W58="Y", X58="Y")),"Y","N"))</f>
        <v>N</v>
      </c>
      <c r="Z58" s="51" t="str">
        <f aca="false">IF(OR(Q58="Y", V58="Y",X58="Y"),"Y","N")</f>
        <v>Y</v>
      </c>
      <c r="AA58" s="53" t="str">
        <f aca="false">" -  "&amp;O58&amp;AN58</f>
        <v>-  Z</v>
      </c>
      <c r="AB58" s="51" t="str">
        <f aca="false">IFERROR(VLOOKUP(WEEKDAY(AC58),Static!$AL$3:$AM$11,2,0),"")</f>
        <v/>
      </c>
      <c r="AC58" s="49" t="str">
        <f aca="false">IF(AI58&lt;&gt;"",AI58,AV58)</f>
        <v/>
      </c>
      <c r="AD58" s="54"/>
      <c r="AE58" s="54"/>
      <c r="AF58" s="55"/>
      <c r="AG58" s="56"/>
      <c r="AH58" s="56"/>
      <c r="AI58" s="54"/>
      <c r="AJ58" s="54"/>
      <c r="AK58" s="57"/>
      <c r="AL58" s="54"/>
      <c r="AM58" s="54"/>
      <c r="AN58" s="54"/>
      <c r="AO58" s="56"/>
      <c r="AP58" s="56"/>
      <c r="AQ58" s="58"/>
      <c r="AR58" s="51" t="n">
        <f aca="false">SUM(F58:I58)</f>
        <v>0</v>
      </c>
      <c r="AS58" s="59" t="n">
        <f aca="false">IF(AG58="",1,IF(K58&lt;&gt;0,(G58*0.5+J58)/K58,1))</f>
        <v>1</v>
      </c>
      <c r="AT58" s="60" t="str">
        <f aca="false">IF(AP58="","",IF(ISERROR(FIND(CHAR(10),AP58,1)),AP58,LEFT(AP58,FIND(CHAR(10),AP58,1))))</f>
        <v/>
      </c>
      <c r="AU58" s="61" t="str">
        <f aca="false">IF(AP58="","",IFERROR(RIGHT(AP58,LEN(AP58)-FIND("@@@",SUBSTITUTE(AP58,CHAR(10),"@@@",LEN(AP58)-LEN(SUBSTITUTE(AP58,CHAR(10),""))),1)),AP58))</f>
        <v/>
      </c>
      <c r="AV58" s="62" t="str">
        <f aca="false">IFERROR(DATE(("20"&amp;MID(AT58,7,2))*1,MID(AT58,4,2)*1,MID(AT58,1,2)*1),"")</f>
        <v/>
      </c>
      <c r="AW58" s="62" t="str">
        <f aca="false">IFERROR(DATE(("20"&amp;MID(AU58,7,2))*1,MID(AU58,4,2)*1,MID(AU58,1,2)*1),"")</f>
        <v/>
      </c>
      <c r="AX58" s="56" t="s">
        <v>450</v>
      </c>
    </row>
    <row r="59" customFormat="false" ht="12.75" hidden="false" customHeight="true" outlineLevel="0" collapsed="false">
      <c r="B59" s="49" t="str">
        <f aca="false">IF(AL59="","tbc",AL59)</f>
        <v>tbc</v>
      </c>
      <c r="C59" s="49" t="str">
        <f aca="false">IF(AM59="","VNT",AM59)</f>
        <v>VNT</v>
      </c>
      <c r="D59" s="49" t="n">
        <f aca="false">MAX(AC59,IF(AW59="none",AC59,AW59))</f>
        <v>0</v>
      </c>
      <c r="E59" s="50" t="n">
        <f aca="false">IFERROR(DAYS360(AC59,D59),0)</f>
        <v>0</v>
      </c>
      <c r="F59" s="50" t="n">
        <f aca="false">((LEN($AQ59)-LEN(SUBSTITUTE($AQ59,CHAR(10)&amp;". ","")))/3)+IF(LEFT(TRIM($AQ59),2)=". ",1,0)</f>
        <v>0</v>
      </c>
      <c r="G59" s="50" t="n">
        <f aca="false">((LEN($AQ59)-LEN(SUBSTITUTE($AQ59,CHAR(10)&amp;"/ ","")))/3)+IF(LEFT(TRIM($AQ59),2)="/ ",1,0)</f>
        <v>0</v>
      </c>
      <c r="H59" s="50" t="n">
        <f aca="false">((LEN($AQ59)-LEN(SUBSTITUTE($AQ59,CHAR(10)&amp;"~ ","")))/3)+IF(LEFT(TRIM($AQ59),2)="~ ",1,0)</f>
        <v>0</v>
      </c>
      <c r="I59" s="50" t="n">
        <f aca="false">((LEN($AQ59)-LEN(SUBSTITUTE($AQ59,CHAR(10)&amp;"! ","")))/3)+IF(LEFT(TRIM($AQ59),2)="! ",1,0)</f>
        <v>0</v>
      </c>
      <c r="J59" s="50" t="n">
        <f aca="false">((LEN($AQ59)-LEN(SUBSTITUTE($AQ59,CHAR(10)&amp;"x ","")))/3)+IF(LEFT(TRIM($AQ59),2)="x ",1,0)</f>
        <v>0</v>
      </c>
      <c r="K59" s="50" t="n">
        <f aca="false">SUM(F59:J59)</f>
        <v>0</v>
      </c>
      <c r="L59" s="51" t="n">
        <f aca="false">YEAR(D59)</f>
        <v>1899</v>
      </c>
      <c r="M59" s="51" t="str">
        <f aca="false">VLOOKUP(MONTH(D59),Static!$AJ$3:$AK$16,2,0)</f>
        <v>Dec</v>
      </c>
      <c r="N59" s="51" t="n">
        <f aca="false">WEEKNUM(D59,1)</f>
        <v>52</v>
      </c>
      <c r="O59" s="51" t="str">
        <f aca="false">IFERROR(INDEX(Static!$I$5:$L$15,MATCH(AF59,Static!$I$5:$I$15,0),3),"Z")</f>
        <v>Z</v>
      </c>
      <c r="P59" s="51" t="str">
        <f aca="false">IFERROR(INDEX(#REF!,MATCH(AN59,#REF!,0),3),"Z")</f>
        <v>Z</v>
      </c>
      <c r="Q59" s="51" t="str">
        <f aca="false">IFERROR(INDEX(Static!$I$5:$L$15,MATCH(AF59,Static!$I$5:$I$15,0),2),"Y")</f>
        <v>Y</v>
      </c>
      <c r="R59" s="51" t="str">
        <f aca="false">IFERROR(INDEX(Static!$I$5:$L$15,MATCH(AF59,Static!$I$5:$I$15,0),4),"Y")</f>
        <v>Y</v>
      </c>
      <c r="S59" s="51" t="str">
        <f aca="false">IF(AND(AJ59&lt;&gt;"",T59="N",$A$1&gt;=AJ59-(7*$D$2)),"Y","N")</f>
        <v>N</v>
      </c>
      <c r="T59" s="51" t="str">
        <f aca="false">IF(AND(AJ59&lt;&gt;"",$A$1&gt;=AJ59),"Y","N")</f>
        <v>N</v>
      </c>
      <c r="U59" s="51" t="str">
        <f aca="false">IF(D59&gt;(($A$1-WEEKDAY($A$1,2))-7*$D$2),"Y","N")</f>
        <v>N</v>
      </c>
      <c r="V59" s="49" t="str">
        <f aca="false">IF(AR59&gt;0,"Y","N")</f>
        <v>N</v>
      </c>
      <c r="W59" s="51" t="str">
        <f aca="false">IF(AND(U59="Y",V59="N"),"Y","N")</f>
        <v>N</v>
      </c>
      <c r="X59" s="52" t="str">
        <f aca="false">IF(OR(S59="Y",AND(V59="Y",T59="Y"), $A$1=AJ59),"Y","N")</f>
        <v>N</v>
      </c>
      <c r="Y59" s="49" t="str">
        <f aca="false">IF(OR(AD59="Y",AD59="N"),AD59,IF(AND(R59="Y", OR(U59="Y",W59="Y", X59="Y")),"Y","N"))</f>
        <v>N</v>
      </c>
      <c r="Z59" s="51" t="str">
        <f aca="false">IF(OR(Q59="Y", V59="Y",X59="Y"),"Y","N")</f>
        <v>Y</v>
      </c>
      <c r="AA59" s="53" t="str">
        <f aca="false">" -  "&amp;O59&amp;AN59</f>
        <v>-  Z</v>
      </c>
      <c r="AB59" s="51" t="str">
        <f aca="false">IFERROR(VLOOKUP(WEEKDAY(AC59),Static!$AL$3:$AM$11,2,0),"")</f>
        <v/>
      </c>
      <c r="AC59" s="49" t="str">
        <f aca="false">IF(AI59&lt;&gt;"",AI59,AV59)</f>
        <v/>
      </c>
      <c r="AD59" s="54"/>
      <c r="AE59" s="54"/>
      <c r="AF59" s="55"/>
      <c r="AG59" s="56"/>
      <c r="AH59" s="56"/>
      <c r="AI59" s="54"/>
      <c r="AJ59" s="54"/>
      <c r="AK59" s="57"/>
      <c r="AL59" s="54"/>
      <c r="AM59" s="54"/>
      <c r="AN59" s="54"/>
      <c r="AO59" s="56"/>
      <c r="AP59" s="56"/>
      <c r="AQ59" s="56"/>
      <c r="AR59" s="51" t="n">
        <f aca="false">SUM(F59:I59)</f>
        <v>0</v>
      </c>
      <c r="AS59" s="59" t="n">
        <f aca="false">IF(AG59="",1,IF(K59&lt;&gt;0,(G59*0.5+J59)/K59,1))</f>
        <v>1</v>
      </c>
      <c r="AT59" s="60" t="str">
        <f aca="false">IF(AP59="","",IF(ISERROR(FIND(CHAR(10),AP59,1)),AP59,LEFT(AP59,FIND(CHAR(10),AP59,1))))</f>
        <v/>
      </c>
      <c r="AU59" s="61" t="str">
        <f aca="false">IF(AP59="","",IFERROR(RIGHT(AP59,LEN(AP59)-FIND("@@@",SUBSTITUTE(AP59,CHAR(10),"@@@",LEN(AP59)-LEN(SUBSTITUTE(AP59,CHAR(10),""))),1)),AP59))</f>
        <v/>
      </c>
      <c r="AV59" s="62" t="str">
        <f aca="false">IFERROR(DATE(("20"&amp;MID(AT59,7,2))*1,MID(AT59,4,2)*1,MID(AT59,1,2)*1),"")</f>
        <v/>
      </c>
      <c r="AW59" s="62" t="str">
        <f aca="false">IFERROR(DATE(("20"&amp;MID(AU59,7,2))*1,MID(AU59,4,2)*1,MID(AU59,1,2)*1),"")</f>
        <v/>
      </c>
      <c r="AX59" s="56" t="s">
        <v>450</v>
      </c>
    </row>
    <row r="60" customFormat="false" ht="12.75" hidden="false" customHeight="true" outlineLevel="0" collapsed="false">
      <c r="B60" s="49" t="str">
        <f aca="false">IF(AL60="","tbc",AL60)</f>
        <v>tbc</v>
      </c>
      <c r="C60" s="49" t="str">
        <f aca="false">IF(AM60="","VNT",AM60)</f>
        <v>VNT</v>
      </c>
      <c r="D60" s="49" t="n">
        <f aca="false">MAX(AC60,IF(AW60="none",AC60,AW60))</f>
        <v>0</v>
      </c>
      <c r="E60" s="50" t="n">
        <f aca="false">IFERROR(DAYS360(AC60,D60),0)</f>
        <v>0</v>
      </c>
      <c r="F60" s="50" t="n">
        <f aca="false">((LEN($AQ60)-LEN(SUBSTITUTE($AQ60,CHAR(10)&amp;". ","")))/3)+IF(LEFT(TRIM($AQ60),2)=". ",1,0)</f>
        <v>0</v>
      </c>
      <c r="G60" s="50" t="n">
        <f aca="false">((LEN($AQ60)-LEN(SUBSTITUTE($AQ60,CHAR(10)&amp;"/ ","")))/3)+IF(LEFT(TRIM($AQ60),2)="/ ",1,0)</f>
        <v>0</v>
      </c>
      <c r="H60" s="50" t="n">
        <f aca="false">((LEN($AQ60)-LEN(SUBSTITUTE($AQ60,CHAR(10)&amp;"~ ","")))/3)+IF(LEFT(TRIM($AQ60),2)="~ ",1,0)</f>
        <v>0</v>
      </c>
      <c r="I60" s="50" t="n">
        <f aca="false">((LEN($AQ60)-LEN(SUBSTITUTE($AQ60,CHAR(10)&amp;"! ","")))/3)+IF(LEFT(TRIM($AQ60),2)="! ",1,0)</f>
        <v>0</v>
      </c>
      <c r="J60" s="50" t="n">
        <f aca="false">((LEN($AQ60)-LEN(SUBSTITUTE($AQ60,CHAR(10)&amp;"x ","")))/3)+IF(LEFT(TRIM($AQ60),2)="x ",1,0)</f>
        <v>0</v>
      </c>
      <c r="K60" s="50" t="n">
        <f aca="false">SUM(F60:J60)</f>
        <v>0</v>
      </c>
      <c r="L60" s="51" t="n">
        <f aca="false">YEAR(D60)</f>
        <v>1899</v>
      </c>
      <c r="M60" s="51" t="str">
        <f aca="false">VLOOKUP(MONTH(D60),Static!$AJ$3:$AK$16,2,0)</f>
        <v>Dec</v>
      </c>
      <c r="N60" s="51" t="n">
        <f aca="false">WEEKNUM(D60,1)</f>
        <v>52</v>
      </c>
      <c r="O60" s="51" t="str">
        <f aca="false">IFERROR(INDEX(Static!$I$5:$L$15,MATCH(AF60,Static!$I$5:$I$15,0),3),"Z")</f>
        <v>Z</v>
      </c>
      <c r="P60" s="51" t="str">
        <f aca="false">IFERROR(INDEX(#REF!,MATCH(AN60,#REF!,0),3),"Z")</f>
        <v>Z</v>
      </c>
      <c r="Q60" s="51" t="str">
        <f aca="false">IFERROR(INDEX(Static!$I$5:$L$15,MATCH(AF60,Static!$I$5:$I$15,0),2),"Y")</f>
        <v>Y</v>
      </c>
      <c r="R60" s="51" t="str">
        <f aca="false">IFERROR(INDEX(Static!$I$5:$L$15,MATCH(AF60,Static!$I$5:$I$15,0),4),"Y")</f>
        <v>Y</v>
      </c>
      <c r="S60" s="51" t="str">
        <f aca="false">IF(AND(AJ60&lt;&gt;"",T60="N",$A$1&gt;=AJ60-(7*$D$2)),"Y","N")</f>
        <v>N</v>
      </c>
      <c r="T60" s="51" t="str">
        <f aca="false">IF(AND(AJ60&lt;&gt;"",$A$1&gt;=AJ60),"Y","N")</f>
        <v>N</v>
      </c>
      <c r="U60" s="51" t="str">
        <f aca="false">IF(D60&gt;(($A$1-WEEKDAY($A$1,2))-7*$D$2),"Y","N")</f>
        <v>N</v>
      </c>
      <c r="V60" s="49" t="str">
        <f aca="false">IF(AR60&gt;0,"Y","N")</f>
        <v>N</v>
      </c>
      <c r="W60" s="51" t="str">
        <f aca="false">IF(AND(U60="Y",V60="N"),"Y","N")</f>
        <v>N</v>
      </c>
      <c r="X60" s="52" t="str">
        <f aca="false">IF(OR(S60="Y",AND(V60="Y",T60="Y"), $A$1=AJ60),"Y","N")</f>
        <v>N</v>
      </c>
      <c r="Y60" s="49" t="str">
        <f aca="false">IF(OR(AD60="Y",AD60="N"),AD60,IF(AND(R60="Y", OR(U60="Y",W60="Y", X60="Y")),"Y","N"))</f>
        <v>N</v>
      </c>
      <c r="Z60" s="51" t="str">
        <f aca="false">IF(OR(Q60="Y", V60="Y",X60="Y"),"Y","N")</f>
        <v>Y</v>
      </c>
      <c r="AA60" s="53" t="str">
        <f aca="false">" -  "&amp;O60&amp;AN60</f>
        <v>-  Z</v>
      </c>
      <c r="AB60" s="51" t="str">
        <f aca="false">IFERROR(VLOOKUP(WEEKDAY(AC60),Static!$AL$3:$AM$11,2,0),"")</f>
        <v/>
      </c>
      <c r="AC60" s="49" t="str">
        <f aca="false">IF(AI60&lt;&gt;"",AI60,AV60)</f>
        <v/>
      </c>
      <c r="AD60" s="54"/>
      <c r="AE60" s="54"/>
      <c r="AF60" s="55"/>
      <c r="AG60" s="56"/>
      <c r="AH60" s="56"/>
      <c r="AI60" s="54"/>
      <c r="AJ60" s="54"/>
      <c r="AK60" s="57"/>
      <c r="AL60" s="54"/>
      <c r="AM60" s="54"/>
      <c r="AN60" s="54"/>
      <c r="AO60" s="56"/>
      <c r="AP60" s="56"/>
      <c r="AQ60" s="58"/>
      <c r="AR60" s="51" t="n">
        <f aca="false">SUM(F60:I60)</f>
        <v>0</v>
      </c>
      <c r="AS60" s="59" t="n">
        <f aca="false">IF(AG60="",1,IF(K60&lt;&gt;0,(G60*0.5+J60)/K60,1))</f>
        <v>1</v>
      </c>
      <c r="AT60" s="60" t="str">
        <f aca="false">IF(AP60="","",IF(ISERROR(FIND(CHAR(10),AP60,1)),AP60,LEFT(AP60,FIND(CHAR(10),AP60,1))))</f>
        <v/>
      </c>
      <c r="AU60" s="61" t="str">
        <f aca="false">IF(AP60="","",IFERROR(RIGHT(AP60,LEN(AP60)-FIND("@@@",SUBSTITUTE(AP60,CHAR(10),"@@@",LEN(AP60)-LEN(SUBSTITUTE(AP60,CHAR(10),""))),1)),AP60))</f>
        <v/>
      </c>
      <c r="AV60" s="62" t="str">
        <f aca="false">IFERROR(DATE(("20"&amp;MID(AT60,7,2))*1,MID(AT60,4,2)*1,MID(AT60,1,2)*1),"")</f>
        <v/>
      </c>
      <c r="AW60" s="62" t="str">
        <f aca="false">IFERROR(DATE(("20"&amp;MID(AU60,7,2))*1,MID(AU60,4,2)*1,MID(AU60,1,2)*1),"")</f>
        <v/>
      </c>
      <c r="AX60" s="56" t="s">
        <v>450</v>
      </c>
    </row>
    <row r="61" customFormat="false" ht="12.75" hidden="false" customHeight="true" outlineLevel="0" collapsed="false">
      <c r="B61" s="49" t="str">
        <f aca="false">IF(AL61="","tbc",AL61)</f>
        <v>tbc</v>
      </c>
      <c r="C61" s="49" t="str">
        <f aca="false">IF(AM61="","VNT",AM61)</f>
        <v>VNT</v>
      </c>
      <c r="D61" s="49" t="n">
        <f aca="false">MAX(AC61,IF(AW61="none",AC61,AW61))</f>
        <v>0</v>
      </c>
      <c r="E61" s="50" t="n">
        <f aca="false">IFERROR(DAYS360(AC61,D61),0)</f>
        <v>0</v>
      </c>
      <c r="F61" s="50" t="n">
        <f aca="false">((LEN($AQ61)-LEN(SUBSTITUTE($AQ61,CHAR(10)&amp;". ","")))/3)+IF(LEFT(TRIM($AQ61),2)=". ",1,0)</f>
        <v>0</v>
      </c>
      <c r="G61" s="50" t="n">
        <f aca="false">((LEN($AQ61)-LEN(SUBSTITUTE($AQ61,CHAR(10)&amp;"/ ","")))/3)+IF(LEFT(TRIM($AQ61),2)="/ ",1,0)</f>
        <v>0</v>
      </c>
      <c r="H61" s="50" t="n">
        <f aca="false">((LEN($AQ61)-LEN(SUBSTITUTE($AQ61,CHAR(10)&amp;"~ ","")))/3)+IF(LEFT(TRIM($AQ61),2)="~ ",1,0)</f>
        <v>0</v>
      </c>
      <c r="I61" s="50" t="n">
        <f aca="false">((LEN($AQ61)-LEN(SUBSTITUTE($AQ61,CHAR(10)&amp;"! ","")))/3)+IF(LEFT(TRIM($AQ61),2)="! ",1,0)</f>
        <v>0</v>
      </c>
      <c r="J61" s="50" t="n">
        <f aca="false">((LEN($AQ61)-LEN(SUBSTITUTE($AQ61,CHAR(10)&amp;"x ","")))/3)+IF(LEFT(TRIM($AQ61),2)="x ",1,0)</f>
        <v>0</v>
      </c>
      <c r="K61" s="50" t="n">
        <f aca="false">SUM(F61:J61)</f>
        <v>0</v>
      </c>
      <c r="L61" s="51" t="n">
        <f aca="false">YEAR(D61)</f>
        <v>1899</v>
      </c>
      <c r="M61" s="51" t="str">
        <f aca="false">VLOOKUP(MONTH(D61),Static!$AJ$3:$AK$16,2,0)</f>
        <v>Dec</v>
      </c>
      <c r="N61" s="51" t="n">
        <f aca="false">WEEKNUM(D61,1)</f>
        <v>52</v>
      </c>
      <c r="O61" s="51" t="str">
        <f aca="false">IFERROR(INDEX(Static!$I$5:$L$15,MATCH(AF61,Static!$I$5:$I$15,0),3),"Z")</f>
        <v>Z</v>
      </c>
      <c r="P61" s="51" t="str">
        <f aca="false">IFERROR(INDEX(#REF!,MATCH(AN61,#REF!,0),3),"Z")</f>
        <v>Z</v>
      </c>
      <c r="Q61" s="51" t="str">
        <f aca="false">IFERROR(INDEX(Static!$I$5:$L$15,MATCH(AF61,Static!$I$5:$I$15,0),2),"Y")</f>
        <v>Y</v>
      </c>
      <c r="R61" s="51" t="str">
        <f aca="false">IFERROR(INDEX(Static!$I$5:$L$15,MATCH(AF61,Static!$I$5:$I$15,0),4),"Y")</f>
        <v>Y</v>
      </c>
      <c r="S61" s="51" t="str">
        <f aca="false">IF(AND(AJ61&lt;&gt;"",T61="N",$A$1&gt;=AJ61-(7*$D$2)),"Y","N")</f>
        <v>N</v>
      </c>
      <c r="T61" s="51" t="str">
        <f aca="false">IF(AND(AJ61&lt;&gt;"",$A$1&gt;=AJ61),"Y","N")</f>
        <v>N</v>
      </c>
      <c r="U61" s="51" t="str">
        <f aca="false">IF(D61&gt;(($A$1-WEEKDAY($A$1,2))-7*$D$2),"Y","N")</f>
        <v>N</v>
      </c>
      <c r="V61" s="49" t="str">
        <f aca="false">IF(AR61&gt;0,"Y","N")</f>
        <v>N</v>
      </c>
      <c r="W61" s="51" t="str">
        <f aca="false">IF(AND(U61="Y",V61="N"),"Y","N")</f>
        <v>N</v>
      </c>
      <c r="X61" s="52" t="str">
        <f aca="false">IF(OR(S61="Y",AND(V61="Y",T61="Y"), $A$1=AJ61),"Y","N")</f>
        <v>N</v>
      </c>
      <c r="Y61" s="49" t="str">
        <f aca="false">IF(OR(AD61="Y",AD61="N"),AD61,IF(AND(R61="Y", OR(U61="Y",W61="Y", X61="Y")),"Y","N"))</f>
        <v>N</v>
      </c>
      <c r="Z61" s="51" t="str">
        <f aca="false">IF(OR(Q61="Y", V61="Y",X61="Y"),"Y","N")</f>
        <v>Y</v>
      </c>
      <c r="AA61" s="53" t="str">
        <f aca="false">" -  "&amp;O61&amp;AN61</f>
        <v>-  Z</v>
      </c>
      <c r="AB61" s="51" t="str">
        <f aca="false">IFERROR(VLOOKUP(WEEKDAY(AC61),Static!$AL$3:$AM$11,2,0),"")</f>
        <v/>
      </c>
      <c r="AC61" s="49" t="str">
        <f aca="false">IF(AI61&lt;&gt;"",AI61,AV61)</f>
        <v/>
      </c>
      <c r="AD61" s="54"/>
      <c r="AE61" s="54"/>
      <c r="AF61" s="55"/>
      <c r="AG61" s="56"/>
      <c r="AH61" s="56"/>
      <c r="AI61" s="54"/>
      <c r="AJ61" s="54"/>
      <c r="AK61" s="57"/>
      <c r="AL61" s="54"/>
      <c r="AM61" s="54"/>
      <c r="AN61" s="54"/>
      <c r="AO61" s="56"/>
      <c r="AP61" s="56"/>
      <c r="AQ61" s="58"/>
      <c r="AR61" s="51" t="n">
        <f aca="false">SUM(F61:I61)</f>
        <v>0</v>
      </c>
      <c r="AS61" s="59" t="n">
        <f aca="false">IF(AG61="",1,IF(K61&lt;&gt;0,(G61*0.5+J61)/K61,1))</f>
        <v>1</v>
      </c>
      <c r="AT61" s="60" t="str">
        <f aca="false">IF(AP61="","",IF(ISERROR(FIND(CHAR(10),AP61,1)),AP61,LEFT(AP61,FIND(CHAR(10),AP61,1))))</f>
        <v/>
      </c>
      <c r="AU61" s="61" t="str">
        <f aca="false">IF(AP61="","",IFERROR(RIGHT(AP61,LEN(AP61)-FIND("@@@",SUBSTITUTE(AP61,CHAR(10),"@@@",LEN(AP61)-LEN(SUBSTITUTE(AP61,CHAR(10),""))),1)),AP61))</f>
        <v/>
      </c>
      <c r="AV61" s="62" t="str">
        <f aca="false">IFERROR(DATE(("20"&amp;MID(AT61,7,2))*1,MID(AT61,4,2)*1,MID(AT61,1,2)*1),"")</f>
        <v/>
      </c>
      <c r="AW61" s="62" t="str">
        <f aca="false">IFERROR(DATE(("20"&amp;MID(AU61,7,2))*1,MID(AU61,4,2)*1,MID(AU61,1,2)*1),"")</f>
        <v/>
      </c>
      <c r="AX61" s="56" t="s">
        <v>450</v>
      </c>
    </row>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sheetData>
  <autoFilter ref="A4:AX61"/>
  <conditionalFormatting sqref="X5:X61">
    <cfRule type="cellIs" priority="2" operator="equal" aboveAverage="0" equalAverage="0" bottom="0" percent="0" rank="0" text="" dxfId="7">
      <formula>"Y"</formula>
    </cfRule>
    <cfRule type="cellIs" priority="3" operator="equal" aboveAverage="0" equalAverage="0" bottom="0" percent="0" rank="0" text="" dxfId="8">
      <formula>0</formula>
    </cfRule>
  </conditionalFormatting>
  <conditionalFormatting sqref="AS5:AS61">
    <cfRule type="colorScale" priority="4">
      <colorScale>
        <cfvo type="num" val="0"/>
        <cfvo type="num" val="1"/>
        <color rgb="FFFF0000"/>
        <color rgb="FF00A933"/>
      </colorScale>
    </cfRule>
  </conditionalFormatting>
  <dataValidations count="3">
    <dataValidation allowBlank="true" errorStyle="stop" operator="equal" showDropDown="false" showErrorMessage="true" showInputMessage="false" sqref="AF5:AF61" type="list">
      <formula1>Static!$I$5:$I$15</formula1>
      <formula2>0</formula2>
    </dataValidation>
    <dataValidation allowBlank="true" errorStyle="stop" operator="equal" showDropDown="false" showErrorMessage="true" showInputMessage="false" sqref="AN5:AN61" type="list">
      <formula1>#ref!</formula1>
      <formula2>0</formula2>
    </dataValidation>
    <dataValidation allowBlank="true" errorStyle="stop" operator="equal" showDropDown="false" showErrorMessage="true" showInputMessage="false" sqref="AD5:AD61" type="list">
      <formula1>Static!$AI$5:$AI$7</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10531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2021-08-29T12:51:43Z</dcterms:created>
  <dc:creator/>
  <dc:description>The MSS is used as part of a Management Framework. It is subject to two licenses:
Attribution-NonCommercial-ShareAlike 4.0 International a.k.a. CC-BY-NC-SA 4.0. 
&lt;https://creativecommons.org/licenses/by-nc-sa/4.0&gt;
and
GNU Public License 3.0
&lt;https://www.gnu.org/licenses&gt;</dc:description>
  <dc:language>en-HK</dc:language>
  <cp:lastModifiedBy/>
  <dcterms:modified xsi:type="dcterms:W3CDTF">2024-02-12T15:06:28Z</dcterms:modified>
  <cp:revision>1358</cp:revision>
  <dc:subject>The Management Spreadsheet</dc:subject>
  <dc:title>MSS</dc:title>
</cp:coreProperties>
</file>

<file path=docProps/custom.xml><?xml version="1.0" encoding="utf-8"?>
<Properties xmlns="http://schemas.openxmlformats.org/officeDocument/2006/custom-properties" xmlns:vt="http://schemas.openxmlformats.org/officeDocument/2006/docPropsVTypes"/>
</file>